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U80763324\AppData\Local\rubicon\Acta Nova Client\Data\893405426\"/>
    </mc:Choice>
  </mc:AlternateContent>
  <xr:revisionPtr revIDLastSave="0" documentId="13_ncr:1_{F34DB75C-05A9-4510-B606-AF341E054B6D}" xr6:coauthVersionLast="47" xr6:coauthVersionMax="47" xr10:uidLastSave="{00000000-0000-0000-0000-000000000000}"/>
  <workbookProtection workbookAlgorithmName="SHA-512" workbookHashValue="0M0nVedz3piseqdpI/j2+BfGQ/0af9au+X1+0kVae3OMBeOo47EKp6BEOU56Fa9JyXZvAbTzdFhe+9+R6t9efQ==" workbookSaltValue="0X8ma4gP8EZQp8xaUjuyAw==" workbookSpinCount="100000" lockStructure="1"/>
  <bookViews>
    <workbookView xWindow="28680" yWindow="-120" windowWidth="29040" windowHeight="15720" firstSheet="2" activeTab="2" xr2:uid="{966CAD40-47C0-4ACB-BB82-B42C58FC4EAE}"/>
  </bookViews>
  <sheets>
    <sheet name="DropDown" sheetId="13" state="hidden" r:id="rId1"/>
    <sheet name="Sprachen" sheetId="30" state="hidden" r:id="rId2"/>
    <sheet name="START, DÉBUT, INIZIO" sheetId="1" r:id="rId3"/>
    <sheet name="1 Allgemeines &amp; Unterschrift" sheetId="33" r:id="rId4"/>
    <sheet name="1a Begründung Investitionstyp" sheetId="34" r:id="rId5"/>
    <sheet name="1b Beitragssatz IB" sheetId="36" r:id="rId6"/>
    <sheet name="2 Techn. Angaben &amp; Produktion" sheetId="3" r:id="rId7"/>
    <sheet name="3 Investitionskosten" sheetId="15" r:id="rId8"/>
    <sheet name="4.1" sheetId="18" r:id="rId9"/>
    <sheet name="4.2" sheetId="5" r:id="rId10"/>
    <sheet name="4.3" sheetId="31" r:id="rId11"/>
    <sheet name="4.4" sheetId="21" r:id="rId12"/>
    <sheet name="4.5" sheetId="23" r:id="rId13"/>
    <sheet name="4.6" sheetId="24" r:id="rId14"/>
    <sheet name="Marktpreisindex" sheetId="28" state="hidden" r:id="rId15"/>
    <sheet name="Vorgaben" sheetId="16" r:id="rId16"/>
    <sheet name="Änderungen zu Vorversion" sheetId="32" state="hidden" r:id="rId17"/>
  </sheets>
  <externalReferences>
    <externalReference r:id="rId18"/>
  </externalReferences>
  <definedNames>
    <definedName name="_ftn1" localSheetId="1">Sprachen!$A$146</definedName>
    <definedName name="_ftnref1" localSheetId="1">Sprachen!$A$141</definedName>
    <definedName name="Aufwände">OFFSET(#REF!,0,0,1,'[1]2.1 Kraftwerk allgemein'!$F$16-'[1]1.1 Allgemein'!$I$22+1)</definedName>
    <definedName name="_xlnm.Print_Area" localSheetId="3">'1 Allgemeines &amp; Unterschrift'!$A$1:$I$169</definedName>
    <definedName name="_xlnm.Print_Area" localSheetId="4">'1a Begründung Investitionstyp'!$A$1:$K$42</definedName>
    <definedName name="_xlnm.Print_Area" localSheetId="5">'1b Beitragssatz IB'!$A$1:$K$41</definedName>
    <definedName name="_xlnm.Print_Area" localSheetId="6">'2 Techn. Angaben &amp; Produktion'!$A$1:$AB$161</definedName>
    <definedName name="_xlnm.Print_Area" localSheetId="7">'3 Investitionskosten'!$A$1:$O$365</definedName>
    <definedName name="_xlnm.Print_Area" localSheetId="2">'START, DÉBUT, INIZIO'!$A$1:$F$58</definedName>
    <definedName name="_xlnm.Print_Titles" localSheetId="7">'3 Investitionskosten'!$7:$12</definedName>
    <definedName name="EAT">OFFSET(#REF!,0,0,1,'[1]2.1 Kraftwerk allgemein'!$F$16-'[1]1.1 Allgemein'!$I$22+1)</definedName>
    <definedName name="EBITDA">OFFSET(#REF!,0,0,1,'[1]2.1 Kraftwerk allgemein'!$F$16-'[1]1.1 Allgemein'!$I$22+1)</definedName>
    <definedName name="EBT">OFFSET(#REF!,0,0,1,'[1]2.1 Kraftwerk allgemein'!$F$16-'[1]1.1 Allgemein'!$I$22+1)</definedName>
    <definedName name="Erträge">OFFSET(#REF!,0,0,1,'[1]2.1 Kraftwerk allgemein'!$F$16-'[1]1.1 Allgemein'!$I$22+1)</definedName>
    <definedName name="FCF">OFFSET(#REF!,0,0,1,'[1]2.1 Kraftwerk allgemein'!$F$16-'[1]1.1 Allgemein'!$I$22+1)</definedName>
    <definedName name="Jahr">OFFSET(#REF!,0,0,1,'[1]2.1 Kraftwerk allgemein'!$F$16-'[1]1.1 Allgemein'!$I$22+1)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3" i="24" l="1"/>
  <c r="D71" i="24"/>
  <c r="D73" i="24"/>
  <c r="D72" i="24"/>
  <c r="D83" i="23"/>
  <c r="D83" i="21"/>
  <c r="C12" i="16" l="1"/>
  <c r="V10" i="15" s="1"/>
  <c r="P58" i="16" l="1"/>
  <c r="P59" i="16"/>
  <c r="P57" i="16"/>
  <c r="P60" i="16" s="1"/>
  <c r="D60" i="16" s="1"/>
  <c r="D57" i="16"/>
  <c r="M60" i="16"/>
  <c r="I68" i="16" l="1"/>
  <c r="H68" i="16"/>
  <c r="J68" i="16" s="1"/>
  <c r="I67" i="16"/>
  <c r="H67" i="16"/>
  <c r="J67" i="16" s="1"/>
  <c r="I66" i="16"/>
  <c r="H66" i="16"/>
  <c r="J66" i="16" s="1"/>
  <c r="J69" i="16" s="1"/>
  <c r="E119" i="31" s="1"/>
  <c r="E123" i="5" l="1"/>
  <c r="C74" i="24" l="1"/>
  <c r="C75" i="24" s="1"/>
  <c r="C76" i="24" s="1"/>
  <c r="C77" i="24" s="1"/>
  <c r="C78" i="24" s="1"/>
  <c r="C79" i="24" s="1"/>
  <c r="C80" i="24" s="1"/>
  <c r="C84" i="23"/>
  <c r="C85" i="23"/>
  <c r="C86" i="23" s="1"/>
  <c r="C87" i="23" s="1"/>
  <c r="C88" i="23" s="1"/>
  <c r="C89" i="23" s="1"/>
  <c r="C90" i="23" s="1"/>
  <c r="C84" i="21"/>
  <c r="C85" i="21"/>
  <c r="C86" i="21" s="1"/>
  <c r="C87" i="21" s="1"/>
  <c r="C88" i="21" s="1"/>
  <c r="C89" i="21" s="1"/>
  <c r="C90" i="21" s="1"/>
  <c r="C87" i="18"/>
  <c r="C84" i="18"/>
  <c r="C85" i="18"/>
  <c r="C86" i="18" s="1"/>
  <c r="C88" i="18" s="1"/>
  <c r="C89" i="18" s="1"/>
  <c r="C90" i="18" s="1"/>
  <c r="D79" i="24" l="1"/>
  <c r="D89" i="23"/>
  <c r="D89" i="21"/>
  <c r="D227" i="31"/>
  <c r="D231" i="5"/>
  <c r="A3" i="21" l="1"/>
  <c r="V91" i="15"/>
  <c r="V16" i="15"/>
  <c r="I56" i="33"/>
  <c r="B123" i="33"/>
  <c r="B121" i="33"/>
  <c r="C8" i="36"/>
  <c r="C13" i="36"/>
  <c r="C17" i="36"/>
  <c r="C19" i="36"/>
  <c r="C23" i="36"/>
  <c r="C26" i="36"/>
  <c r="C33" i="36"/>
  <c r="C38" i="36"/>
  <c r="E39" i="33"/>
  <c r="D4" i="1" l="1"/>
  <c r="G7" i="34" l="1"/>
  <c r="B3" i="34"/>
  <c r="B64" i="16"/>
  <c r="H65" i="16"/>
  <c r="B65" i="16"/>
  <c r="G65" i="16" s="1"/>
  <c r="K69" i="16"/>
  <c r="C31" i="3"/>
  <c r="B228" i="31"/>
  <c r="B79" i="24"/>
  <c r="B80" i="24"/>
  <c r="B226" i="31"/>
  <c r="B78" i="24"/>
  <c r="B232" i="5"/>
  <c r="B90" i="23"/>
  <c r="B230" i="5"/>
  <c r="B89" i="23"/>
  <c r="B90" i="18"/>
  <c r="B90" i="21"/>
  <c r="B88" i="18"/>
  <c r="B89" i="21"/>
  <c r="B227" i="31"/>
  <c r="C126" i="33"/>
  <c r="A59" i="13"/>
  <c r="C131" i="33"/>
  <c r="E57" i="3"/>
  <c r="A60" i="13"/>
  <c r="C127" i="33"/>
  <c r="A58" i="13"/>
  <c r="F93" i="3"/>
  <c r="C62" i="3"/>
  <c r="D157" i="33"/>
  <c r="D156" i="33"/>
  <c r="G141" i="33"/>
  <c r="E141" i="33"/>
  <c r="C141" i="33"/>
  <c r="G5" i="34"/>
  <c r="E65" i="33"/>
  <c r="A5" i="3"/>
  <c r="E139" i="33"/>
  <c r="C139" i="33"/>
  <c r="C134" i="33"/>
  <c r="H141" i="33"/>
  <c r="B49" i="1"/>
  <c r="B52" i="1"/>
  <c r="B56" i="1"/>
  <c r="B53" i="1"/>
  <c r="B54" i="1"/>
  <c r="B51" i="1"/>
  <c r="B50" i="1"/>
  <c r="E19" i="1"/>
  <c r="B47" i="1"/>
  <c r="A43" i="33"/>
  <c r="E113" i="33"/>
  <c r="F111" i="33"/>
  <c r="A61" i="33"/>
  <c r="A88" i="33"/>
  <c r="A78" i="33"/>
  <c r="A51" i="33"/>
  <c r="A97" i="33"/>
  <c r="A47" i="33"/>
  <c r="A60" i="33"/>
  <c r="D121" i="33"/>
  <c r="D123" i="33"/>
  <c r="A80" i="33"/>
  <c r="E117" i="33"/>
  <c r="B4" i="23"/>
  <c r="B4" i="24"/>
  <c r="B4" i="31"/>
  <c r="B4" i="5"/>
  <c r="B4" i="18"/>
  <c r="B4" i="21"/>
  <c r="C6" i="34"/>
  <c r="C10" i="36"/>
  <c r="C30" i="36"/>
  <c r="E17" i="36"/>
  <c r="C5" i="36"/>
  <c r="C11" i="36"/>
  <c r="C31" i="36"/>
  <c r="E38" i="36"/>
  <c r="E23" i="36"/>
  <c r="E26" i="36"/>
  <c r="B1" i="36"/>
  <c r="E13" i="36"/>
  <c r="E33" i="36"/>
  <c r="C6" i="36"/>
  <c r="E8" i="36"/>
  <c r="E19" i="36"/>
  <c r="B30" i="34"/>
  <c r="B10" i="34"/>
  <c r="B5" i="34"/>
  <c r="F115" i="33"/>
  <c r="A48" i="13"/>
  <c r="A49" i="13"/>
  <c r="J93" i="3" l="1"/>
  <c r="N119" i="3"/>
  <c r="R119" i="3"/>
  <c r="J119" i="3"/>
  <c r="R93" i="3"/>
  <c r="N93" i="3"/>
  <c r="B10" i="36"/>
  <c r="B30" i="36"/>
  <c r="B29" i="36" s="1"/>
  <c r="B5" i="36"/>
  <c r="C7" i="36" s="1"/>
  <c r="C7" i="34"/>
  <c r="C256" i="30"/>
  <c r="B256" i="30"/>
  <c r="A256" i="30"/>
  <c r="D20" i="23"/>
  <c r="D20" i="21"/>
  <c r="D20" i="5"/>
  <c r="D20" i="18"/>
  <c r="D14" i="24"/>
  <c r="D14" i="31"/>
  <c r="O319" i="15"/>
  <c r="O324" i="15"/>
  <c r="M324" i="15"/>
  <c r="M18" i="15"/>
  <c r="M19" i="15"/>
  <c r="C32" i="34" l="1"/>
  <c r="C32" i="36" s="1"/>
  <c r="H57" i="36" l="1"/>
  <c r="H34" i="36" s="1"/>
  <c r="E56" i="36" s="1" a="1"/>
  <c r="E56" i="36" s="1"/>
  <c r="E108" i="33" s="1"/>
  <c r="B29" i="34" l="1"/>
  <c r="A1" i="3" l="1"/>
  <c r="N33" i="3" l="1"/>
  <c r="L40" i="3" s="1"/>
  <c r="J25" i="3"/>
  <c r="J22" i="3"/>
  <c r="J21" i="3"/>
  <c r="J20" i="3"/>
  <c r="J19" i="3"/>
  <c r="J18" i="3"/>
  <c r="J17" i="3"/>
  <c r="J16" i="3"/>
  <c r="J15" i="3"/>
  <c r="J14" i="3"/>
  <c r="J13" i="3"/>
  <c r="J12" i="3"/>
  <c r="J11" i="3"/>
  <c r="J10" i="3"/>
  <c r="O4" i="15"/>
  <c r="O3" i="15"/>
  <c r="I55" i="33"/>
  <c r="D26" i="21" l="1"/>
  <c r="D26" i="5"/>
  <c r="D26" i="18"/>
  <c r="D26" i="23"/>
  <c r="E142" i="5"/>
  <c r="E138" i="31"/>
  <c r="E128" i="31"/>
  <c r="E132" i="5"/>
  <c r="N43" i="15"/>
  <c r="D89" i="18" l="1"/>
  <c r="N91" i="31"/>
  <c r="N92" i="31"/>
  <c r="N93" i="31"/>
  <c r="N94" i="31"/>
  <c r="N95" i="31"/>
  <c r="N96" i="31"/>
  <c r="N97" i="31"/>
  <c r="N98" i="31"/>
  <c r="N99" i="31"/>
  <c r="N100" i="31"/>
  <c r="N101" i="31"/>
  <c r="N90" i="31"/>
  <c r="H91" i="31"/>
  <c r="H92" i="31"/>
  <c r="H93" i="31"/>
  <c r="H94" i="31"/>
  <c r="H95" i="31"/>
  <c r="H96" i="31"/>
  <c r="H97" i="31"/>
  <c r="H98" i="31"/>
  <c r="H99" i="31"/>
  <c r="H100" i="31"/>
  <c r="H101" i="31"/>
  <c r="H90" i="31"/>
  <c r="E91" i="31"/>
  <c r="E92" i="31"/>
  <c r="E94" i="31"/>
  <c r="E95" i="31"/>
  <c r="E96" i="31"/>
  <c r="E97" i="31"/>
  <c r="E98" i="31"/>
  <c r="E99" i="31"/>
  <c r="E100" i="31"/>
  <c r="E90" i="31"/>
  <c r="E101" i="31" s="1"/>
  <c r="E99" i="5"/>
  <c r="D2" i="28"/>
  <c r="C27" i="23"/>
  <c r="C28" i="23" s="1"/>
  <c r="C29" i="23" s="1"/>
  <c r="C30" i="23" s="1"/>
  <c r="C31" i="23" s="1"/>
  <c r="C10" i="23"/>
  <c r="C11" i="23" s="1"/>
  <c r="C12" i="23" s="1"/>
  <c r="C13" i="23" s="1"/>
  <c r="C14" i="23" s="1"/>
  <c r="C27" i="21"/>
  <c r="C28" i="21" s="1"/>
  <c r="C29" i="21" s="1"/>
  <c r="C30" i="21" s="1"/>
  <c r="C31" i="21" s="1"/>
  <c r="C10" i="21"/>
  <c r="C11" i="21" s="1"/>
  <c r="C12" i="21" s="1"/>
  <c r="C13" i="21" s="1"/>
  <c r="C14" i="21" s="1"/>
  <c r="A3" i="31" l="1"/>
  <c r="C234" i="31" l="1"/>
  <c r="C235" i="31" s="1"/>
  <c r="C207" i="31"/>
  <c r="C208" i="31" s="1"/>
  <c r="C209" i="31" s="1"/>
  <c r="C210" i="31" s="1"/>
  <c r="C211" i="31" s="1"/>
  <c r="C212" i="31" s="1"/>
  <c r="C213" i="31" s="1"/>
  <c r="C214" i="31" s="1"/>
  <c r="C215" i="31" s="1"/>
  <c r="C216" i="31" s="1"/>
  <c r="C217" i="31" s="1"/>
  <c r="C218" i="31" s="1"/>
  <c r="C219" i="31" s="1"/>
  <c r="C220" i="31" s="1"/>
  <c r="C221" i="31" s="1"/>
  <c r="C222" i="31" s="1"/>
  <c r="C223" i="31" s="1"/>
  <c r="C224" i="31" s="1"/>
  <c r="C225" i="31" s="1"/>
  <c r="C226" i="31" s="1"/>
  <c r="C229" i="31" s="1"/>
  <c r="C230" i="31" s="1"/>
  <c r="C181" i="31"/>
  <c r="C182" i="31" s="1"/>
  <c r="C183" i="31" s="1"/>
  <c r="C184" i="31" s="1"/>
  <c r="C185" i="31" s="1"/>
  <c r="C186" i="31" s="1"/>
  <c r="C187" i="31" s="1"/>
  <c r="C188" i="31" s="1"/>
  <c r="C189" i="31" s="1"/>
  <c r="C190" i="31" s="1"/>
  <c r="C191" i="31" s="1"/>
  <c r="C192" i="31" s="1"/>
  <c r="C193" i="31" s="1"/>
  <c r="C194" i="31" s="1"/>
  <c r="C195" i="31" s="1"/>
  <c r="C196" i="31" s="1"/>
  <c r="C197" i="31" s="1"/>
  <c r="C198" i="31" s="1"/>
  <c r="C199" i="31" s="1"/>
  <c r="C200" i="31" s="1"/>
  <c r="C201" i="31" s="1"/>
  <c r="C202" i="31" s="1"/>
  <c r="E141" i="31"/>
  <c r="D139" i="31"/>
  <c r="D140" i="31" s="1"/>
  <c r="D141" i="31" s="1"/>
  <c r="D142" i="31" s="1"/>
  <c r="D134" i="31"/>
  <c r="D135" i="31" s="1"/>
  <c r="D129" i="31"/>
  <c r="D130" i="31" s="1"/>
  <c r="H116" i="31"/>
  <c r="E116" i="31"/>
  <c r="D112" i="31"/>
  <c r="D113" i="31" s="1"/>
  <c r="D114" i="31" s="1"/>
  <c r="D115" i="31" s="1"/>
  <c r="D116" i="31" s="1"/>
  <c r="D117" i="31" s="1"/>
  <c r="D118" i="31" s="1"/>
  <c r="D119" i="31" s="1"/>
  <c r="D120" i="31" s="1"/>
  <c r="D121" i="31" s="1"/>
  <c r="D122" i="31" s="1"/>
  <c r="D123" i="31" s="1"/>
  <c r="D61" i="31"/>
  <c r="D62" i="31" s="1"/>
  <c r="D63" i="31" s="1"/>
  <c r="D64" i="31" s="1"/>
  <c r="D65" i="31" s="1"/>
  <c r="C15" i="31"/>
  <c r="C16" i="31" s="1"/>
  <c r="C17" i="31" s="1"/>
  <c r="C10" i="31"/>
  <c r="C11" i="31" s="1"/>
  <c r="C148" i="31"/>
  <c r="C149" i="31" s="1"/>
  <c r="C150" i="31" s="1"/>
  <c r="C151" i="31" s="1"/>
  <c r="C152" i="31" s="1"/>
  <c r="C153" i="31" s="1"/>
  <c r="C154" i="31" s="1"/>
  <c r="C155" i="31" s="1"/>
  <c r="C156" i="31" s="1"/>
  <c r="C157" i="31" s="1"/>
  <c r="C158" i="31" s="1"/>
  <c r="C159" i="31" s="1"/>
  <c r="C160" i="31" s="1"/>
  <c r="C91" i="31"/>
  <c r="C92" i="31" s="1"/>
  <c r="C93" i="31" s="1"/>
  <c r="C94" i="31" s="1"/>
  <c r="C95" i="31" s="1"/>
  <c r="C96" i="31" s="1"/>
  <c r="C97" i="31" s="1"/>
  <c r="C98" i="31" s="1"/>
  <c r="C99" i="31" s="1"/>
  <c r="C100" i="31" s="1"/>
  <c r="C101" i="31" s="1"/>
  <c r="C102" i="31" s="1"/>
  <c r="H82" i="31"/>
  <c r="E82" i="31"/>
  <c r="E93" i="31" s="1"/>
  <c r="K81" i="31"/>
  <c r="K80" i="31"/>
  <c r="K79" i="31"/>
  <c r="K78" i="31"/>
  <c r="K77" i="31"/>
  <c r="K76" i="31"/>
  <c r="K75" i="31"/>
  <c r="K74" i="31"/>
  <c r="K73" i="31"/>
  <c r="K72" i="31"/>
  <c r="K71" i="31"/>
  <c r="C71" i="31"/>
  <c r="C72" i="31" s="1"/>
  <c r="C73" i="31" s="1"/>
  <c r="C74" i="31" s="1"/>
  <c r="C75" i="31" s="1"/>
  <c r="C76" i="31" s="1"/>
  <c r="C77" i="31" s="1"/>
  <c r="C78" i="31" s="1"/>
  <c r="C79" i="31" s="1"/>
  <c r="C80" i="31" s="1"/>
  <c r="C81" i="31" s="1"/>
  <c r="C82" i="31" s="1"/>
  <c r="K70" i="31"/>
  <c r="C46" i="31"/>
  <c r="C47" i="31" s="1"/>
  <c r="C48" i="31" s="1"/>
  <c r="C49" i="31" s="1"/>
  <c r="C50" i="31" s="1"/>
  <c r="C51" i="31" s="1"/>
  <c r="C52" i="31" s="1"/>
  <c r="C53" i="31" s="1"/>
  <c r="C54" i="31" s="1"/>
  <c r="C55" i="31" s="1"/>
  <c r="C56" i="31" s="1"/>
  <c r="C57" i="31" s="1"/>
  <c r="C29" i="31"/>
  <c r="C30" i="31" s="1"/>
  <c r="C31" i="31" s="1"/>
  <c r="C32" i="31" s="1"/>
  <c r="C33" i="31" s="1"/>
  <c r="C34" i="31" s="1"/>
  <c r="C35" i="31" s="1"/>
  <c r="C36" i="31" s="1"/>
  <c r="C37" i="31" s="1"/>
  <c r="C38" i="31" s="1"/>
  <c r="C39" i="31" s="1"/>
  <c r="C40" i="31" s="1"/>
  <c r="C22" i="31"/>
  <c r="C23" i="31" s="1"/>
  <c r="B15" i="31"/>
  <c r="C161" i="31" l="1"/>
  <c r="C162" i="31" s="1"/>
  <c r="C163" i="31" s="1"/>
  <c r="C164" i="31" s="1"/>
  <c r="C165" i="31" s="1"/>
  <c r="C166" i="31" s="1"/>
  <c r="C167" i="31" s="1"/>
  <c r="C168" i="31" s="1"/>
  <c r="C169" i="31" s="1"/>
  <c r="C170" i="31" s="1"/>
  <c r="C171" i="31" s="1"/>
  <c r="C172" i="31" s="1"/>
  <c r="C173" i="31" s="1"/>
  <c r="C174" i="31" s="1"/>
  <c r="C175" i="31" s="1"/>
  <c r="D234" i="31"/>
  <c r="K82" i="31"/>
  <c r="B665" i="30" l="1"/>
  <c r="C665" i="30"/>
  <c r="A665" i="30"/>
  <c r="C68" i="24"/>
  <c r="C69" i="24" s="1"/>
  <c r="C70" i="24" s="1"/>
  <c r="C71" i="24" s="1"/>
  <c r="C72" i="24" s="1"/>
  <c r="C73" i="24" s="1"/>
  <c r="C15" i="24"/>
  <c r="C16" i="24" s="1"/>
  <c r="C17" i="24" s="1"/>
  <c r="C10" i="24"/>
  <c r="C11" i="24" s="1"/>
  <c r="C78" i="23"/>
  <c r="C79" i="23" s="1"/>
  <c r="C80" i="23" s="1"/>
  <c r="C81" i="23" s="1"/>
  <c r="C82" i="23" s="1"/>
  <c r="C83" i="23" s="1"/>
  <c r="D70" i="23"/>
  <c r="D71" i="23" s="1"/>
  <c r="D72" i="23" s="1"/>
  <c r="D73" i="23" s="1"/>
  <c r="D74" i="23" s="1"/>
  <c r="C55" i="23"/>
  <c r="C56" i="23" s="1"/>
  <c r="C57" i="23" s="1"/>
  <c r="C58" i="23" s="1"/>
  <c r="C59" i="23" s="1"/>
  <c r="C60" i="23" s="1"/>
  <c r="C61" i="23" s="1"/>
  <c r="C62" i="23" s="1"/>
  <c r="C63" i="23" s="1"/>
  <c r="C64" i="23" s="1"/>
  <c r="C65" i="23" s="1"/>
  <c r="C66" i="23" s="1"/>
  <c r="D48" i="23"/>
  <c r="D65" i="23" s="1"/>
  <c r="D47" i="23"/>
  <c r="D64" i="23" s="1"/>
  <c r="D46" i="23"/>
  <c r="D63" i="23" s="1"/>
  <c r="D45" i="23"/>
  <c r="D62" i="23" s="1"/>
  <c r="D44" i="23"/>
  <c r="D61" i="23" s="1"/>
  <c r="D43" i="23"/>
  <c r="D60" i="23" s="1"/>
  <c r="D42" i="23"/>
  <c r="D59" i="23" s="1"/>
  <c r="D41" i="23"/>
  <c r="D58" i="23" s="1"/>
  <c r="D40" i="23"/>
  <c r="D57" i="23" s="1"/>
  <c r="D39" i="23"/>
  <c r="D56" i="23" s="1"/>
  <c r="D38" i="23"/>
  <c r="D55" i="23" s="1"/>
  <c r="C38" i="23"/>
  <c r="C39" i="23" s="1"/>
  <c r="C40" i="23" s="1"/>
  <c r="C41" i="23" s="1"/>
  <c r="C42" i="23" s="1"/>
  <c r="C43" i="23" s="1"/>
  <c r="C44" i="23" s="1"/>
  <c r="C45" i="23" s="1"/>
  <c r="C46" i="23" s="1"/>
  <c r="C47" i="23" s="1"/>
  <c r="C48" i="23" s="1"/>
  <c r="C49" i="23" s="1"/>
  <c r="D37" i="23"/>
  <c r="D54" i="23" s="1"/>
  <c r="C32" i="23"/>
  <c r="C21" i="23"/>
  <c r="C22" i="23" s="1"/>
  <c r="C23" i="23" s="1"/>
  <c r="D15" i="23"/>
  <c r="C15" i="23"/>
  <c r="C16" i="23" s="1"/>
  <c r="C17" i="23" s="1"/>
  <c r="D48" i="21"/>
  <c r="D65" i="21" s="1"/>
  <c r="D47" i="21"/>
  <c r="D46" i="21"/>
  <c r="D63" i="21" s="1"/>
  <c r="D45" i="21"/>
  <c r="D62" i="21" s="1"/>
  <c r="D44" i="21"/>
  <c r="D61" i="21" s="1"/>
  <c r="D43" i="21"/>
  <c r="D42" i="21"/>
  <c r="D59" i="21" s="1"/>
  <c r="D41" i="21"/>
  <c r="D58" i="21" s="1"/>
  <c r="D40" i="21"/>
  <c r="D57" i="21" s="1"/>
  <c r="D39" i="21"/>
  <c r="D38" i="21"/>
  <c r="D55" i="21" s="1"/>
  <c r="C38" i="21"/>
  <c r="C39" i="21" s="1"/>
  <c r="C40" i="21" s="1"/>
  <c r="C41" i="21" s="1"/>
  <c r="C42" i="21" s="1"/>
  <c r="C43" i="21" s="1"/>
  <c r="C44" i="21" s="1"/>
  <c r="C45" i="21" s="1"/>
  <c r="C46" i="21" s="1"/>
  <c r="C47" i="21" s="1"/>
  <c r="C48" i="21" s="1"/>
  <c r="C49" i="21" s="1"/>
  <c r="D37" i="21"/>
  <c r="D54" i="21" s="1"/>
  <c r="C78" i="21"/>
  <c r="C79" i="21" s="1"/>
  <c r="C80" i="21" s="1"/>
  <c r="C81" i="21" s="1"/>
  <c r="C82" i="21" s="1"/>
  <c r="C83" i="21" s="1"/>
  <c r="D70" i="21"/>
  <c r="D71" i="21" s="1"/>
  <c r="D72" i="21" s="1"/>
  <c r="D73" i="21" s="1"/>
  <c r="D74" i="21" s="1"/>
  <c r="C55" i="21"/>
  <c r="C56" i="21" s="1"/>
  <c r="C57" i="21" s="1"/>
  <c r="C58" i="21" s="1"/>
  <c r="C59" i="21" s="1"/>
  <c r="C60" i="21" s="1"/>
  <c r="C61" i="21" s="1"/>
  <c r="C62" i="21" s="1"/>
  <c r="C63" i="21" s="1"/>
  <c r="C64" i="21" s="1"/>
  <c r="C65" i="21" s="1"/>
  <c r="C66" i="21" s="1"/>
  <c r="C32" i="21"/>
  <c r="C21" i="21"/>
  <c r="C22" i="21" s="1"/>
  <c r="C23" i="21" s="1"/>
  <c r="D15" i="21"/>
  <c r="C15" i="21"/>
  <c r="C16" i="21" s="1"/>
  <c r="C17" i="21" s="1"/>
  <c r="A255" i="30"/>
  <c r="B255" i="30"/>
  <c r="C255" i="30"/>
  <c r="C211" i="5"/>
  <c r="C212" i="5" s="1"/>
  <c r="C213" i="5" s="1"/>
  <c r="C214" i="5" s="1"/>
  <c r="C215" i="5" s="1"/>
  <c r="C216" i="5" s="1"/>
  <c r="C217" i="5" s="1"/>
  <c r="C218" i="5" s="1"/>
  <c r="C219" i="5" s="1"/>
  <c r="C220" i="5" s="1"/>
  <c r="C221" i="5" s="1"/>
  <c r="C222" i="5" s="1"/>
  <c r="C223" i="5" s="1"/>
  <c r="C224" i="5" s="1"/>
  <c r="C225" i="5" s="1"/>
  <c r="C226" i="5" s="1"/>
  <c r="C227" i="5" s="1"/>
  <c r="C228" i="5" s="1"/>
  <c r="C229" i="5" s="1"/>
  <c r="C230" i="5" s="1"/>
  <c r="C234" i="5" s="1"/>
  <c r="C185" i="5"/>
  <c r="C186" i="5" s="1"/>
  <c r="C187" i="5" s="1"/>
  <c r="C188" i="5" s="1"/>
  <c r="C189" i="5" s="1"/>
  <c r="C190" i="5" s="1"/>
  <c r="C191" i="5" s="1"/>
  <c r="C192" i="5" s="1"/>
  <c r="C193" i="5" s="1"/>
  <c r="C194" i="5" s="1"/>
  <c r="C195" i="5" s="1"/>
  <c r="C196" i="5" s="1"/>
  <c r="C197" i="5" s="1"/>
  <c r="C198" i="5" s="1"/>
  <c r="C199" i="5" s="1"/>
  <c r="C200" i="5" s="1"/>
  <c r="C201" i="5" s="1"/>
  <c r="C202" i="5" s="1"/>
  <c r="C203" i="5" s="1"/>
  <c r="C204" i="5" s="1"/>
  <c r="C205" i="5" s="1"/>
  <c r="C206" i="5" s="1"/>
  <c r="C152" i="5"/>
  <c r="C153" i="5" s="1"/>
  <c r="C154" i="5" s="1"/>
  <c r="C155" i="5" s="1"/>
  <c r="C156" i="5" s="1"/>
  <c r="C157" i="5" s="1"/>
  <c r="C158" i="5" s="1"/>
  <c r="C159" i="5" s="1"/>
  <c r="C160" i="5" s="1"/>
  <c r="C161" i="5" s="1"/>
  <c r="C162" i="5" s="1"/>
  <c r="C163" i="5" s="1"/>
  <c r="C164" i="5" s="1"/>
  <c r="C165" i="5" s="1"/>
  <c r="C166" i="5" s="1"/>
  <c r="C167" i="5" s="1"/>
  <c r="C168" i="5" s="1"/>
  <c r="C169" i="5" s="1"/>
  <c r="C170" i="5" s="1"/>
  <c r="C171" i="5" s="1"/>
  <c r="C172" i="5" s="1"/>
  <c r="C173" i="5" s="1"/>
  <c r="C174" i="5" s="1"/>
  <c r="C175" i="5" s="1"/>
  <c r="C176" i="5" s="1"/>
  <c r="C177" i="5" s="1"/>
  <c r="C178" i="5" s="1"/>
  <c r="C179" i="5" s="1"/>
  <c r="E145" i="5"/>
  <c r="D143" i="5"/>
  <c r="D144" i="5" s="1"/>
  <c r="D145" i="5" s="1"/>
  <c r="D146" i="5" s="1"/>
  <c r="D138" i="5"/>
  <c r="D139" i="5" s="1"/>
  <c r="D133" i="5"/>
  <c r="D134" i="5" s="1"/>
  <c r="H120" i="5"/>
  <c r="E120" i="5"/>
  <c r="D116" i="5"/>
  <c r="D117" i="5" s="1"/>
  <c r="D118" i="5" s="1"/>
  <c r="D119" i="5" s="1"/>
  <c r="D120" i="5" s="1"/>
  <c r="D121" i="5" s="1"/>
  <c r="D122" i="5" s="1"/>
  <c r="D123" i="5" s="1"/>
  <c r="D124" i="5" s="1"/>
  <c r="D125" i="5" s="1"/>
  <c r="D126" i="5" s="1"/>
  <c r="D127" i="5" s="1"/>
  <c r="N110" i="5"/>
  <c r="M110" i="5"/>
  <c r="E110" i="5"/>
  <c r="D110" i="5"/>
  <c r="N109" i="5"/>
  <c r="M109" i="5"/>
  <c r="E109" i="5"/>
  <c r="D109" i="5"/>
  <c r="N108" i="5"/>
  <c r="M108" i="5"/>
  <c r="E108" i="5"/>
  <c r="D108" i="5"/>
  <c r="N107" i="5"/>
  <c r="M107" i="5"/>
  <c r="E107" i="5"/>
  <c r="D107" i="5"/>
  <c r="N106" i="5"/>
  <c r="M106" i="5"/>
  <c r="E106" i="5"/>
  <c r="D106" i="5"/>
  <c r="N105" i="5"/>
  <c r="M105" i="5"/>
  <c r="E105" i="5"/>
  <c r="D105" i="5"/>
  <c r="N104" i="5"/>
  <c r="M104" i="5"/>
  <c r="E104" i="5"/>
  <c r="D104" i="5"/>
  <c r="N103" i="5"/>
  <c r="M103" i="5"/>
  <c r="E103" i="5"/>
  <c r="D103" i="5"/>
  <c r="N102" i="5"/>
  <c r="M102" i="5"/>
  <c r="E102" i="5"/>
  <c r="D102" i="5"/>
  <c r="N101" i="5"/>
  <c r="M101" i="5"/>
  <c r="E101" i="5"/>
  <c r="D101" i="5"/>
  <c r="N100" i="5"/>
  <c r="M100" i="5"/>
  <c r="E100" i="5"/>
  <c r="D100" i="5"/>
  <c r="C100" i="5"/>
  <c r="C101" i="5" s="1"/>
  <c r="C102" i="5" s="1"/>
  <c r="C103" i="5" s="1"/>
  <c r="C104" i="5" s="1"/>
  <c r="C105" i="5" s="1"/>
  <c r="C106" i="5" s="1"/>
  <c r="C107" i="5" s="1"/>
  <c r="C108" i="5" s="1"/>
  <c r="C109" i="5" s="1"/>
  <c r="C110" i="5" s="1"/>
  <c r="C111" i="5" s="1"/>
  <c r="N99" i="5"/>
  <c r="M99" i="5"/>
  <c r="H99" i="5"/>
  <c r="D99" i="5"/>
  <c r="H91" i="5"/>
  <c r="E91" i="5"/>
  <c r="K90" i="5"/>
  <c r="D90" i="5"/>
  <c r="D81" i="31" s="1"/>
  <c r="D101" i="31" s="1"/>
  <c r="M101" i="31" s="1"/>
  <c r="K89" i="5"/>
  <c r="D89" i="5"/>
  <c r="D80" i="31" s="1"/>
  <c r="D100" i="31" s="1"/>
  <c r="M100" i="31" s="1"/>
  <c r="K88" i="5"/>
  <c r="D88" i="5"/>
  <c r="D79" i="31" s="1"/>
  <c r="D99" i="31" s="1"/>
  <c r="M99" i="31" s="1"/>
  <c r="K87" i="5"/>
  <c r="D87" i="5"/>
  <c r="D78" i="31" s="1"/>
  <c r="D98" i="31" s="1"/>
  <c r="M98" i="31" s="1"/>
  <c r="K86" i="5"/>
  <c r="D86" i="5"/>
  <c r="D77" i="31" s="1"/>
  <c r="D97" i="31" s="1"/>
  <c r="M97" i="31" s="1"/>
  <c r="K85" i="5"/>
  <c r="D85" i="5"/>
  <c r="D76" i="31" s="1"/>
  <c r="D96" i="31" s="1"/>
  <c r="M96" i="31" s="1"/>
  <c r="K84" i="5"/>
  <c r="D84" i="5"/>
  <c r="D75" i="31" s="1"/>
  <c r="D95" i="31" s="1"/>
  <c r="M95" i="31" s="1"/>
  <c r="K83" i="5"/>
  <c r="D83" i="5"/>
  <c r="D74" i="31" s="1"/>
  <c r="D94" i="31" s="1"/>
  <c r="M94" i="31" s="1"/>
  <c r="K82" i="5"/>
  <c r="D82" i="5"/>
  <c r="D73" i="31" s="1"/>
  <c r="D93" i="31" s="1"/>
  <c r="M93" i="31" s="1"/>
  <c r="K81" i="5"/>
  <c r="D81" i="5"/>
  <c r="D72" i="31" s="1"/>
  <c r="D92" i="31" s="1"/>
  <c r="M92" i="31" s="1"/>
  <c r="K80" i="5"/>
  <c r="D80" i="5"/>
  <c r="D71" i="31" s="1"/>
  <c r="D91" i="31" s="1"/>
  <c r="M91" i="31" s="1"/>
  <c r="C80" i="5"/>
  <c r="C81" i="5" s="1"/>
  <c r="C82" i="5" s="1"/>
  <c r="C83" i="5" s="1"/>
  <c r="C84" i="5" s="1"/>
  <c r="C85" i="5" s="1"/>
  <c r="C86" i="5" s="1"/>
  <c r="C87" i="5" s="1"/>
  <c r="C88" i="5" s="1"/>
  <c r="C89" i="5" s="1"/>
  <c r="C90" i="5" s="1"/>
  <c r="C91" i="5" s="1"/>
  <c r="K79" i="5"/>
  <c r="D79" i="5"/>
  <c r="D70" i="31" s="1"/>
  <c r="D90" i="31" s="1"/>
  <c r="M90" i="31" s="1"/>
  <c r="D70" i="5"/>
  <c r="D71" i="5" s="1"/>
  <c r="D72" i="5" s="1"/>
  <c r="D73" i="5" s="1"/>
  <c r="D74" i="5" s="1"/>
  <c r="C55" i="5"/>
  <c r="C56" i="5" s="1"/>
  <c r="C57" i="5" s="1"/>
  <c r="C58" i="5" s="1"/>
  <c r="C59" i="5" s="1"/>
  <c r="C60" i="5" s="1"/>
  <c r="C61" i="5" s="1"/>
  <c r="C62" i="5" s="1"/>
  <c r="C63" i="5" s="1"/>
  <c r="C64" i="5" s="1"/>
  <c r="C65" i="5" s="1"/>
  <c r="C66" i="5" s="1"/>
  <c r="C38" i="5"/>
  <c r="C39" i="5" s="1"/>
  <c r="C40" i="5" s="1"/>
  <c r="C41" i="5" s="1"/>
  <c r="C42" i="5" s="1"/>
  <c r="C43" i="5" s="1"/>
  <c r="C44" i="5" s="1"/>
  <c r="C45" i="5" s="1"/>
  <c r="C46" i="5" s="1"/>
  <c r="C47" i="5" s="1"/>
  <c r="C48" i="5" s="1"/>
  <c r="C49" i="5" s="1"/>
  <c r="C27" i="5"/>
  <c r="C28" i="5" s="1"/>
  <c r="C29" i="5" s="1"/>
  <c r="C30" i="5" s="1"/>
  <c r="C31" i="5" s="1"/>
  <c r="C32" i="5" s="1"/>
  <c r="C21" i="5"/>
  <c r="C22" i="5" s="1"/>
  <c r="C23" i="5" s="1"/>
  <c r="D15" i="5"/>
  <c r="C10" i="5"/>
  <c r="C11" i="5" s="1"/>
  <c r="C12" i="5" s="1"/>
  <c r="C13" i="5" s="1"/>
  <c r="C14" i="5" s="1"/>
  <c r="C15" i="5" s="1"/>
  <c r="C16" i="5" s="1"/>
  <c r="C17" i="5" s="1"/>
  <c r="B484" i="30"/>
  <c r="C484" i="30"/>
  <c r="A484" i="30"/>
  <c r="K91" i="5" l="1"/>
  <c r="D56" i="21"/>
  <c r="D60" i="21"/>
  <c r="D64" i="21"/>
  <c r="A474" i="30"/>
  <c r="B474" i="30"/>
  <c r="C474" i="30"/>
  <c r="B714" i="30"/>
  <c r="C714" i="30" s="1"/>
  <c r="B667" i="30"/>
  <c r="C667" i="30" s="1"/>
  <c r="A636" i="30"/>
  <c r="B583" i="30"/>
  <c r="C583" i="30" s="1"/>
  <c r="B404" i="30"/>
  <c r="C404" i="30" s="1"/>
  <c r="B295" i="30" l="1"/>
  <c r="C295" i="30" s="1"/>
  <c r="O2" i="15" l="1"/>
  <c r="G136" i="33" l="1"/>
  <c r="E136" i="33"/>
  <c r="E11" i="33"/>
  <c r="H136" i="33"/>
  <c r="D17" i="33"/>
  <c r="C136" i="33"/>
  <c r="E134" i="33"/>
  <c r="A119" i="33"/>
  <c r="L34" i="3"/>
  <c r="B101" i="33"/>
  <c r="Q4" i="15"/>
  <c r="Q3" i="15"/>
  <c r="C12" i="34"/>
  <c r="C12" i="36" s="1"/>
  <c r="B1" i="15"/>
  <c r="D155" i="33"/>
  <c r="D154" i="33"/>
  <c r="D153" i="33"/>
  <c r="C157" i="3"/>
  <c r="G157" i="3"/>
  <c r="B155" i="3"/>
  <c r="C158" i="3"/>
  <c r="G158" i="3"/>
  <c r="D158" i="3"/>
  <c r="C31" i="1"/>
  <c r="F158" i="3"/>
  <c r="E158" i="3"/>
  <c r="C33" i="1"/>
  <c r="F157" i="3"/>
  <c r="E157" i="3"/>
  <c r="D157" i="3"/>
  <c r="H156" i="3"/>
  <c r="C148" i="3"/>
  <c r="B33" i="3"/>
  <c r="G151" i="3"/>
  <c r="G149" i="3"/>
  <c r="H143" i="3"/>
  <c r="D149" i="3"/>
  <c r="G148" i="3"/>
  <c r="B141" i="3"/>
  <c r="B114" i="3"/>
  <c r="F151" i="3"/>
  <c r="F149" i="3"/>
  <c r="F143" i="3"/>
  <c r="C151" i="3"/>
  <c r="G150" i="3"/>
  <c r="B140" i="3"/>
  <c r="B90" i="3"/>
  <c r="E151" i="3"/>
  <c r="E149" i="3"/>
  <c r="E143" i="3"/>
  <c r="B143" i="3"/>
  <c r="C143" i="3"/>
  <c r="D148" i="3"/>
  <c r="C146" i="3"/>
  <c r="C144" i="3"/>
  <c r="D151" i="3"/>
  <c r="F148" i="3"/>
  <c r="C150" i="3"/>
  <c r="C145" i="3"/>
  <c r="F150" i="3"/>
  <c r="E148" i="3"/>
  <c r="C141" i="3"/>
  <c r="D150" i="3"/>
  <c r="B61" i="3"/>
  <c r="E150" i="3"/>
  <c r="C149" i="3"/>
  <c r="C27" i="3"/>
  <c r="C25" i="3"/>
  <c r="C14" i="3"/>
  <c r="C24" i="3"/>
  <c r="C13" i="3"/>
  <c r="C23" i="3"/>
  <c r="C12" i="3"/>
  <c r="C11" i="3"/>
  <c r="F9" i="3"/>
  <c r="L23" i="3"/>
  <c r="B8" i="3"/>
  <c r="C30" i="3"/>
  <c r="B6" i="3"/>
  <c r="C28" i="3"/>
  <c r="A4" i="3"/>
  <c r="C22" i="3"/>
  <c r="C10" i="3"/>
  <c r="C21" i="3"/>
  <c r="J9" i="3"/>
  <c r="C20" i="3"/>
  <c r="H9" i="3"/>
  <c r="L24" i="3"/>
  <c r="C19" i="3"/>
  <c r="C18" i="3"/>
  <c r="C17" i="3"/>
  <c r="C16" i="3"/>
  <c r="C15" i="3"/>
  <c r="E47" i="34" a="1"/>
  <c r="E47" i="34" s="1"/>
  <c r="I37" i="36"/>
  <c r="I16" i="36"/>
  <c r="I38" i="36"/>
  <c r="K34" i="36"/>
  <c r="I18" i="36"/>
  <c r="K35" i="36"/>
  <c r="G3" i="36"/>
  <c r="I34" i="36"/>
  <c r="I32" i="36"/>
  <c r="K32" i="36"/>
  <c r="J32" i="36"/>
  <c r="I22" i="36"/>
  <c r="E55" i="36" a="1"/>
  <c r="E55" i="36" s="1"/>
  <c r="E38" i="34"/>
  <c r="E33" i="34"/>
  <c r="E13" i="34"/>
  <c r="C11" i="34"/>
  <c r="C10" i="34"/>
  <c r="E8" i="34"/>
  <c r="C5" i="34"/>
  <c r="C31" i="34"/>
  <c r="B1" i="34"/>
  <c r="A1" i="33"/>
  <c r="C30" i="34"/>
  <c r="E26" i="34"/>
  <c r="E23" i="34"/>
  <c r="E19" i="34"/>
  <c r="E17" i="34"/>
  <c r="F69" i="33"/>
  <c r="C25" i="1"/>
  <c r="D108" i="33"/>
  <c r="C27" i="1"/>
  <c r="A47" i="13"/>
  <c r="A51" i="13"/>
  <c r="A46" i="13"/>
  <c r="A52" i="13"/>
  <c r="D151" i="33"/>
  <c r="A3" i="33"/>
  <c r="B33" i="1"/>
  <c r="B25" i="1"/>
  <c r="B35" i="1"/>
  <c r="B31" i="1"/>
  <c r="D150" i="33"/>
  <c r="I146" i="33"/>
  <c r="D168" i="33"/>
  <c r="H146" i="33"/>
  <c r="E107" i="33"/>
  <c r="D167" i="33"/>
  <c r="G146" i="33"/>
  <c r="E110" i="33"/>
  <c r="D166" i="33"/>
  <c r="F146" i="33"/>
  <c r="B114" i="33"/>
  <c r="D165" i="33"/>
  <c r="E146" i="33"/>
  <c r="D164" i="33"/>
  <c r="D146" i="33"/>
  <c r="B111" i="33"/>
  <c r="D163" i="33"/>
  <c r="D152" i="33"/>
  <c r="C146" i="33"/>
  <c r="D93" i="33"/>
  <c r="D162" i="33"/>
  <c r="B146" i="33"/>
  <c r="A92" i="33"/>
  <c r="D161" i="33"/>
  <c r="G149" i="33"/>
  <c r="A144" i="33"/>
  <c r="E86" i="33"/>
  <c r="G160" i="33"/>
  <c r="A105" i="33"/>
  <c r="E84" i="33"/>
  <c r="A159" i="33"/>
  <c r="A148" i="33"/>
  <c r="A146" i="33"/>
  <c r="F108" i="33"/>
  <c r="H81" i="33"/>
  <c r="A49" i="33"/>
  <c r="E28" i="33"/>
  <c r="I19" i="33"/>
  <c r="D33" i="33"/>
  <c r="A41" i="33"/>
  <c r="D19" i="33"/>
  <c r="G12" i="33"/>
  <c r="E37" i="33"/>
  <c r="H33" i="33"/>
  <c r="G33" i="33"/>
  <c r="D56" i="33"/>
  <c r="D74" i="33"/>
  <c r="D45" i="33"/>
  <c r="G81" i="33"/>
  <c r="C53" i="33"/>
  <c r="A69" i="33"/>
  <c r="H19" i="33"/>
  <c r="G39" i="33"/>
  <c r="H55" i="33"/>
  <c r="E22" i="33"/>
  <c r="A76" i="33"/>
  <c r="G11" i="33"/>
  <c r="G16" i="33"/>
  <c r="E81" i="33"/>
  <c r="D65" i="33"/>
  <c r="A58" i="33"/>
  <c r="D28" i="33"/>
  <c r="F19" i="33"/>
  <c r="D63" i="33"/>
  <c r="E26" i="33"/>
  <c r="H22" i="33"/>
  <c r="D39" i="33"/>
  <c r="G13" i="33"/>
  <c r="C22" i="33"/>
  <c r="D55" i="33"/>
  <c r="D73" i="33"/>
  <c r="D81" i="33"/>
  <c r="E19" i="33"/>
  <c r="F53" i="33"/>
  <c r="A99" i="33"/>
  <c r="H56" i="33"/>
  <c r="G22" i="33"/>
  <c r="C71" i="33"/>
  <c r="A90" i="33"/>
  <c r="E53" i="33"/>
  <c r="G15" i="33"/>
  <c r="E33" i="33"/>
  <c r="A86" i="33"/>
  <c r="G17" i="33"/>
  <c r="E31" i="33"/>
  <c r="G28" i="33"/>
  <c r="F72" i="33"/>
  <c r="G14" i="33"/>
  <c r="I81" i="33"/>
  <c r="B6" i="1"/>
  <c r="D13" i="33"/>
  <c r="D14" i="33"/>
  <c r="D15" i="33"/>
  <c r="D16" i="33"/>
  <c r="D12" i="33"/>
  <c r="D11" i="33"/>
  <c r="D9" i="33"/>
  <c r="A7" i="33"/>
  <c r="K5" i="15"/>
  <c r="J27" i="3"/>
  <c r="C21" i="13"/>
  <c r="C22" i="13"/>
  <c r="C20" i="13"/>
  <c r="K6" i="15"/>
  <c r="A56" i="13"/>
  <c r="A42" i="13"/>
  <c r="A43" i="13"/>
  <c r="A53" i="13"/>
  <c r="A41" i="13"/>
  <c r="A38" i="13"/>
  <c r="A39" i="13"/>
  <c r="A37" i="13"/>
  <c r="A55" i="13"/>
  <c r="A54" i="13"/>
  <c r="B41" i="1"/>
  <c r="B39" i="1"/>
  <c r="B38" i="1"/>
  <c r="B16" i="1"/>
  <c r="A35" i="13"/>
  <c r="B23" i="1"/>
  <c r="A33" i="13"/>
  <c r="A29" i="13"/>
  <c r="A30" i="13"/>
  <c r="E4" i="1" s="1"/>
  <c r="B18" i="1"/>
  <c r="A34" i="13"/>
  <c r="B12" i="1"/>
  <c r="A31" i="13"/>
  <c r="B14" i="1"/>
  <c r="C66" i="3"/>
  <c r="B192" i="31"/>
  <c r="B89" i="18"/>
  <c r="B231" i="5"/>
  <c r="B196" i="5"/>
  <c r="E234" i="5"/>
  <c r="E230" i="31"/>
  <c r="A19" i="24"/>
  <c r="B10" i="24"/>
  <c r="B85" i="24"/>
  <c r="B84" i="24"/>
  <c r="G88" i="31"/>
  <c r="P88" i="31" s="1"/>
  <c r="B21" i="31"/>
  <c r="D88" i="31"/>
  <c r="M88" i="31" s="1"/>
  <c r="A19" i="31"/>
  <c r="K88" i="31"/>
  <c r="T88" i="31" s="1"/>
  <c r="D97" i="5"/>
  <c r="M97" i="5" s="1"/>
  <c r="B234" i="31"/>
  <c r="B220" i="31"/>
  <c r="B199" i="31"/>
  <c r="B194" i="31"/>
  <c r="B188" i="31"/>
  <c r="B183" i="31"/>
  <c r="P176" i="31"/>
  <c r="H161" i="31"/>
  <c r="J145" i="31"/>
  <c r="G142" i="31"/>
  <c r="A126" i="31"/>
  <c r="B119" i="31"/>
  <c r="B114" i="31"/>
  <c r="B111" i="31"/>
  <c r="K68" i="31"/>
  <c r="J26" i="31"/>
  <c r="J43" i="31" s="1"/>
  <c r="F14" i="31"/>
  <c r="A8" i="31"/>
  <c r="A232" i="31"/>
  <c r="O128" i="31"/>
  <c r="B224" i="31"/>
  <c r="B219" i="31"/>
  <c r="B212" i="31"/>
  <c r="B206" i="31"/>
  <c r="B193" i="31"/>
  <c r="B182" i="31"/>
  <c r="Q161" i="31"/>
  <c r="G161" i="31"/>
  <c r="I145" i="31"/>
  <c r="B138" i="31"/>
  <c r="B133" i="31"/>
  <c r="B129" i="31"/>
  <c r="J124" i="31"/>
  <c r="B117" i="31"/>
  <c r="H110" i="31"/>
  <c r="G68" i="31"/>
  <c r="B61" i="31"/>
  <c r="G26" i="31"/>
  <c r="G43" i="31" s="1"/>
  <c r="F17" i="31"/>
  <c r="F6" i="31"/>
  <c r="B223" i="31"/>
  <c r="B217" i="31"/>
  <c r="B210" i="31"/>
  <c r="F202" i="31"/>
  <c r="B186" i="31"/>
  <c r="E161" i="31"/>
  <c r="G145" i="31"/>
  <c r="B121" i="31"/>
  <c r="A109" i="31"/>
  <c r="B60" i="31"/>
  <c r="A25" i="31"/>
  <c r="A5" i="31"/>
  <c r="B233" i="31"/>
  <c r="B218" i="31"/>
  <c r="B211" i="31"/>
  <c r="A205" i="31"/>
  <c r="B198" i="31"/>
  <c r="F192" i="31"/>
  <c r="B187" i="31"/>
  <c r="P161" i="31"/>
  <c r="F161" i="31"/>
  <c r="H145" i="31"/>
  <c r="B141" i="31"/>
  <c r="A137" i="31"/>
  <c r="A132" i="31"/>
  <c r="B123" i="31"/>
  <c r="E110" i="31"/>
  <c r="D68" i="31"/>
  <c r="D26" i="31"/>
  <c r="D43" i="31" s="1"/>
  <c r="B14" i="31"/>
  <c r="B197" i="31"/>
  <c r="O161" i="31"/>
  <c r="G135" i="31"/>
  <c r="B113" i="31"/>
  <c r="F13" i="31"/>
  <c r="B200" i="31"/>
  <c r="B12" i="16"/>
  <c r="B230" i="31"/>
  <c r="B216" i="31"/>
  <c r="B209" i="31"/>
  <c r="B202" i="31"/>
  <c r="B191" i="31"/>
  <c r="B181" i="31"/>
  <c r="L161" i="31"/>
  <c r="F145" i="31"/>
  <c r="B140" i="31"/>
  <c r="O130" i="31"/>
  <c r="B116" i="31"/>
  <c r="A67" i="31"/>
  <c r="A59" i="31"/>
  <c r="F23" i="31"/>
  <c r="B16" i="31"/>
  <c r="A13" i="31"/>
  <c r="B235" i="31"/>
  <c r="B214" i="31"/>
  <c r="B201" i="31"/>
  <c r="B189" i="31"/>
  <c r="B179" i="31"/>
  <c r="B145" i="31"/>
  <c r="B120" i="31"/>
  <c r="B63" i="31"/>
  <c r="B10" i="31"/>
  <c r="B22" i="31" s="1"/>
  <c r="B184" i="31"/>
  <c r="K145" i="31"/>
  <c r="B139" i="31"/>
  <c r="B127" i="31"/>
  <c r="B115" i="31"/>
  <c r="B62" i="31"/>
  <c r="B21" i="24"/>
  <c r="B229" i="31"/>
  <c r="B222" i="31"/>
  <c r="B215" i="31"/>
  <c r="B208" i="31"/>
  <c r="B196" i="31"/>
  <c r="B190" i="31"/>
  <c r="B185" i="31"/>
  <c r="B180" i="31"/>
  <c r="K161" i="31"/>
  <c r="B161" i="31"/>
  <c r="E145" i="31"/>
  <c r="G130" i="31"/>
  <c r="B128" i="31"/>
  <c r="B112" i="31"/>
  <c r="M86" i="31"/>
  <c r="M57" i="31"/>
  <c r="F22" i="24"/>
  <c r="F15" i="31"/>
  <c r="F11" i="31"/>
  <c r="B221" i="31"/>
  <c r="B195" i="31"/>
  <c r="J161" i="31"/>
  <c r="L145" i="31"/>
  <c r="G127" i="31"/>
  <c r="D86" i="31"/>
  <c r="A42" i="31"/>
  <c r="B225" i="31"/>
  <c r="B213" i="31"/>
  <c r="B207" i="31"/>
  <c r="A178" i="31"/>
  <c r="I161" i="31"/>
  <c r="A144" i="31"/>
  <c r="B134" i="31"/>
  <c r="O129" i="31"/>
  <c r="J119" i="31"/>
  <c r="M82" i="31"/>
  <c r="M40" i="31"/>
  <c r="B9" i="31"/>
  <c r="B73" i="23"/>
  <c r="C22" i="16"/>
  <c r="Q16" i="16"/>
  <c r="Q25" i="16" s="1"/>
  <c r="D16" i="16"/>
  <c r="D25" i="16" s="1"/>
  <c r="C21" i="16"/>
  <c r="G74" i="21"/>
  <c r="G74" i="5"/>
  <c r="G65" i="31" s="1"/>
  <c r="G64" i="24" s="1"/>
  <c r="O133" i="5"/>
  <c r="C20" i="16"/>
  <c r="P16" i="16"/>
  <c r="P25" i="16" s="1"/>
  <c r="B18" i="16"/>
  <c r="B27" i="16" s="1"/>
  <c r="E19" i="16"/>
  <c r="E28" i="16" s="1"/>
  <c r="B74" i="21"/>
  <c r="O134" i="5"/>
  <c r="B7" i="16"/>
  <c r="O16" i="16"/>
  <c r="O25" i="16" s="1"/>
  <c r="B25" i="16"/>
  <c r="Y28" i="16" s="1"/>
  <c r="E16" i="16"/>
  <c r="B74" i="5"/>
  <c r="B65" i="31" s="1"/>
  <c r="B64" i="24" s="1"/>
  <c r="O132" i="5"/>
  <c r="S21" i="16"/>
  <c r="S30" i="16" s="1"/>
  <c r="I16" i="16"/>
  <c r="B73" i="18"/>
  <c r="G74" i="23"/>
  <c r="S22" i="16"/>
  <c r="S31" i="16" s="1"/>
  <c r="H16" i="16"/>
  <c r="B74" i="23"/>
  <c r="B73" i="21"/>
  <c r="S20" i="16"/>
  <c r="S29" i="16" s="1"/>
  <c r="G16" i="16"/>
  <c r="B72" i="21"/>
  <c r="B73" i="5"/>
  <c r="B64" i="31" s="1"/>
  <c r="B63" i="24" s="1"/>
  <c r="J19" i="16"/>
  <c r="J28" i="16" s="1"/>
  <c r="F16" i="16"/>
  <c r="E127" i="31"/>
  <c r="B3" i="16"/>
  <c r="B11" i="16"/>
  <c r="B4" i="16"/>
  <c r="B5" i="16"/>
  <c r="B2" i="16"/>
  <c r="B6" i="16"/>
  <c r="A1" i="16"/>
  <c r="B8" i="16"/>
  <c r="B17" i="16"/>
  <c r="B16" i="16"/>
  <c r="X28" i="16" s="1"/>
  <c r="B9" i="16"/>
  <c r="A15" i="16"/>
  <c r="B10" i="16"/>
  <c r="C4" i="28"/>
  <c r="A66" i="24"/>
  <c r="M39" i="24"/>
  <c r="F17" i="24"/>
  <c r="A13" i="24"/>
  <c r="A5" i="24"/>
  <c r="B67" i="24"/>
  <c r="C3" i="28"/>
  <c r="B77" i="24"/>
  <c r="B71" i="24"/>
  <c r="B60" i="24"/>
  <c r="J25" i="24"/>
  <c r="J42" i="24" s="1"/>
  <c r="F11" i="24"/>
  <c r="A12" i="28"/>
  <c r="B76" i="24"/>
  <c r="B70" i="24"/>
  <c r="B61" i="24"/>
  <c r="G25" i="24"/>
  <c r="G42" i="24" s="1"/>
  <c r="B16" i="24"/>
  <c r="A7" i="28"/>
  <c r="A10" i="28" s="1"/>
  <c r="A82" i="24"/>
  <c r="B74" i="24"/>
  <c r="B62" i="24"/>
  <c r="D25" i="24"/>
  <c r="D42" i="24" s="1"/>
  <c r="F15" i="24"/>
  <c r="A41" i="24"/>
  <c r="A8" i="28"/>
  <c r="A11" i="28" s="1"/>
  <c r="B69" i="24"/>
  <c r="B75" i="24"/>
  <c r="B83" i="24" s="1"/>
  <c r="B59" i="24"/>
  <c r="A24" i="24"/>
  <c r="B9" i="24"/>
  <c r="B72" i="24"/>
  <c r="A9" i="28"/>
  <c r="B68" i="24"/>
  <c r="A58" i="24"/>
  <c r="F14" i="24"/>
  <c r="A8" i="24"/>
  <c r="F13" i="24"/>
  <c r="A6" i="28"/>
  <c r="B73" i="24"/>
  <c r="M56" i="24"/>
  <c r="B14" i="24"/>
  <c r="F6" i="24"/>
  <c r="B1" i="28"/>
  <c r="B84" i="23"/>
  <c r="B80" i="23"/>
  <c r="G35" i="23"/>
  <c r="G52" i="23" s="1"/>
  <c r="F23" i="23"/>
  <c r="F20" i="23"/>
  <c r="F17" i="23"/>
  <c r="B81" i="23"/>
  <c r="B88" i="23"/>
  <c r="B79" i="23"/>
  <c r="B69" i="23"/>
  <c r="D35" i="23"/>
  <c r="D52" i="23" s="1"/>
  <c r="M49" i="23"/>
  <c r="B85" i="23"/>
  <c r="A25" i="23"/>
  <c r="A68" i="23"/>
  <c r="A34" i="23"/>
  <c r="B20" i="23"/>
  <c r="B71" i="23"/>
  <c r="A8" i="23"/>
  <c r="F15" i="23"/>
  <c r="B83" i="23"/>
  <c r="B78" i="23"/>
  <c r="B72" i="23"/>
  <c r="M66" i="23"/>
  <c r="A51" i="23"/>
  <c r="F32" i="23"/>
  <c r="B22" i="23"/>
  <c r="A19" i="23"/>
  <c r="F8" i="23"/>
  <c r="F19" i="23" s="1"/>
  <c r="F25" i="23" s="1"/>
  <c r="B87" i="23"/>
  <c r="F21" i="23"/>
  <c r="B70" i="23"/>
  <c r="A5" i="23"/>
  <c r="B86" i="23"/>
  <c r="B82" i="23"/>
  <c r="B77" i="23"/>
  <c r="F26" i="23"/>
  <c r="F16" i="23"/>
  <c r="F6" i="23"/>
  <c r="A76" i="23"/>
  <c r="J35" i="23"/>
  <c r="J52" i="23" s="1"/>
  <c r="B86" i="21"/>
  <c r="B84" i="21"/>
  <c r="B79" i="21"/>
  <c r="B70" i="21"/>
  <c r="B85" i="21"/>
  <c r="A51" i="21"/>
  <c r="B78" i="21"/>
  <c r="B69" i="21"/>
  <c r="M49" i="21"/>
  <c r="J35" i="21"/>
  <c r="J52" i="21" s="1"/>
  <c r="F26" i="21"/>
  <c r="B20" i="21"/>
  <c r="F8" i="21"/>
  <c r="F19" i="21" s="1"/>
  <c r="F25" i="21" s="1"/>
  <c r="B88" i="21"/>
  <c r="A34" i="21"/>
  <c r="B83" i="21"/>
  <c r="A68" i="21"/>
  <c r="G35" i="21"/>
  <c r="G52" i="21" s="1"/>
  <c r="A25" i="21"/>
  <c r="A19" i="21"/>
  <c r="A8" i="21"/>
  <c r="B71" i="21"/>
  <c r="F16" i="21"/>
  <c r="B82" i="21"/>
  <c r="B77" i="21"/>
  <c r="M66" i="21"/>
  <c r="D35" i="21"/>
  <c r="D52" i="21" s="1"/>
  <c r="F23" i="21"/>
  <c r="F17" i="21"/>
  <c r="F6" i="21"/>
  <c r="B81" i="21"/>
  <c r="A76" i="21"/>
  <c r="B22" i="21"/>
  <c r="B80" i="21"/>
  <c r="F32" i="21"/>
  <c r="F21" i="21"/>
  <c r="A5" i="21"/>
  <c r="B87" i="21"/>
  <c r="F15" i="21"/>
  <c r="F20" i="21"/>
  <c r="B239" i="5"/>
  <c r="B228" i="5"/>
  <c r="B222" i="5"/>
  <c r="B203" i="5"/>
  <c r="B198" i="5"/>
  <c r="B193" i="5"/>
  <c r="B184" i="5"/>
  <c r="P165" i="5"/>
  <c r="F165" i="5"/>
  <c r="K149" i="5"/>
  <c r="A148" i="5"/>
  <c r="B143" i="5"/>
  <c r="B138" i="5"/>
  <c r="E131" i="5"/>
  <c r="B124" i="5"/>
  <c r="B120" i="5"/>
  <c r="D95" i="5"/>
  <c r="A76" i="5"/>
  <c r="A51" i="5"/>
  <c r="B22" i="5"/>
  <c r="A19" i="5"/>
  <c r="F8" i="5"/>
  <c r="F19" i="5" s="1"/>
  <c r="F25" i="5" s="1"/>
  <c r="B219" i="5"/>
  <c r="A141" i="5"/>
  <c r="B118" i="5"/>
  <c r="M66" i="5"/>
  <c r="B206" i="5"/>
  <c r="K97" i="5"/>
  <c r="T97" i="5" s="1"/>
  <c r="B204" i="5"/>
  <c r="G131" i="5"/>
  <c r="B237" i="5"/>
  <c r="B221" i="5"/>
  <c r="B214" i="5"/>
  <c r="B210" i="5"/>
  <c r="B197" i="5"/>
  <c r="B188" i="5"/>
  <c r="B183" i="5"/>
  <c r="O165" i="5"/>
  <c r="E165" i="5"/>
  <c r="J149" i="5"/>
  <c r="G146" i="5"/>
  <c r="B131" i="5"/>
  <c r="J123" i="5"/>
  <c r="M91" i="5"/>
  <c r="B69" i="5"/>
  <c r="M49" i="5"/>
  <c r="F26" i="5"/>
  <c r="F21" i="5"/>
  <c r="F17" i="5"/>
  <c r="A8" i="5"/>
  <c r="B234" i="5"/>
  <c r="F206" i="5"/>
  <c r="P180" i="5"/>
  <c r="B145" i="5"/>
  <c r="J128" i="5"/>
  <c r="B72" i="5"/>
  <c r="J35" i="5"/>
  <c r="J52" i="5" s="1"/>
  <c r="B233" i="5"/>
  <c r="B218" i="5"/>
  <c r="B212" i="5"/>
  <c r="B191" i="5"/>
  <c r="J165" i="5"/>
  <c r="G139" i="5"/>
  <c r="B123" i="5"/>
  <c r="E114" i="5"/>
  <c r="G35" i="5"/>
  <c r="G52" i="5" s="1"/>
  <c r="F15" i="5"/>
  <c r="B189" i="5"/>
  <c r="D77" i="5"/>
  <c r="F32" i="5"/>
  <c r="A236" i="5"/>
  <c r="B227" i="5"/>
  <c r="B220" i="5"/>
  <c r="B213" i="5"/>
  <c r="A209" i="5"/>
  <c r="B202" i="5"/>
  <c r="F196" i="5"/>
  <c r="B192" i="5"/>
  <c r="B187" i="5"/>
  <c r="A182" i="5"/>
  <c r="L165" i="5"/>
  <c r="B165" i="5"/>
  <c r="I149" i="5"/>
  <c r="B142" i="5"/>
  <c r="B137" i="5"/>
  <c r="B133" i="5"/>
  <c r="A130" i="5"/>
  <c r="B119" i="5"/>
  <c r="B115" i="5"/>
  <c r="A68" i="5"/>
  <c r="F16" i="5"/>
  <c r="B201" i="5"/>
  <c r="K165" i="5"/>
  <c r="H149" i="5"/>
  <c r="A136" i="5"/>
  <c r="H114" i="5"/>
  <c r="A25" i="5"/>
  <c r="B226" i="5"/>
  <c r="B186" i="5"/>
  <c r="G149" i="5"/>
  <c r="B127" i="5"/>
  <c r="F23" i="5"/>
  <c r="L149" i="5"/>
  <c r="M95" i="5"/>
  <c r="B20" i="5"/>
  <c r="B225" i="5"/>
  <c r="B217" i="5"/>
  <c r="B200" i="5"/>
  <c r="B195" i="5"/>
  <c r="B190" i="5"/>
  <c r="I165" i="5"/>
  <c r="F149" i="5"/>
  <c r="B144" i="5"/>
  <c r="B125" i="5"/>
  <c r="B121" i="5"/>
  <c r="B117" i="5"/>
  <c r="A113" i="5"/>
  <c r="G97" i="5"/>
  <c r="P97" i="5" s="1"/>
  <c r="K77" i="5"/>
  <c r="B71" i="5"/>
  <c r="D35" i="5"/>
  <c r="D52" i="5" s="1"/>
  <c r="F20" i="5"/>
  <c r="B229" i="5"/>
  <c r="B224" i="5"/>
  <c r="B216" i="5"/>
  <c r="B205" i="5"/>
  <c r="B199" i="5"/>
  <c r="B194" i="5"/>
  <c r="H165" i="5"/>
  <c r="E149" i="5"/>
  <c r="G134" i="5"/>
  <c r="B132" i="5"/>
  <c r="G77" i="5"/>
  <c r="A34" i="5"/>
  <c r="B238" i="5"/>
  <c r="B223" i="5"/>
  <c r="B215" i="5"/>
  <c r="B211" i="5"/>
  <c r="B185" i="5"/>
  <c r="Q165" i="5"/>
  <c r="G165" i="5"/>
  <c r="B149" i="5"/>
  <c r="B116" i="5"/>
  <c r="B70" i="5"/>
  <c r="A5" i="5"/>
  <c r="F6" i="5"/>
  <c r="B80" i="18"/>
  <c r="A51" i="18"/>
  <c r="F26" i="18"/>
  <c r="F17" i="18"/>
  <c r="B81" i="18"/>
  <c r="G74" i="18"/>
  <c r="M49" i="18"/>
  <c r="F23" i="18"/>
  <c r="F16" i="18"/>
  <c r="A68" i="18"/>
  <c r="A5" i="18"/>
  <c r="M66" i="18"/>
  <c r="C64" i="3"/>
  <c r="B82" i="18"/>
  <c r="B70" i="18"/>
  <c r="J35" i="18"/>
  <c r="J52" i="18" s="1"/>
  <c r="F21" i="18"/>
  <c r="F15" i="18"/>
  <c r="B83" i="18"/>
  <c r="B71" i="18"/>
  <c r="G35" i="18"/>
  <c r="G52" i="18" s="1"/>
  <c r="F20" i="18"/>
  <c r="F8" i="18"/>
  <c r="F19" i="18" s="1"/>
  <c r="F25" i="18" s="1"/>
  <c r="A25" i="18"/>
  <c r="B87" i="18"/>
  <c r="A19" i="18"/>
  <c r="B77" i="18"/>
  <c r="B72" i="18"/>
  <c r="D35" i="18"/>
  <c r="D52" i="18" s="1"/>
  <c r="B22" i="18"/>
  <c r="A8" i="18"/>
  <c r="B85" i="18"/>
  <c r="A76" i="18"/>
  <c r="B74" i="18"/>
  <c r="B69" i="18"/>
  <c r="A34" i="18"/>
  <c r="F6" i="18"/>
  <c r="B78" i="18"/>
  <c r="B84" i="18"/>
  <c r="B86" i="18"/>
  <c r="B20" i="18"/>
  <c r="B79" i="18"/>
  <c r="F32" i="18"/>
  <c r="L68" i="3"/>
  <c r="E92" i="3"/>
  <c r="E118" i="3" s="1"/>
  <c r="C116" i="3"/>
  <c r="P92" i="3"/>
  <c r="P118" i="3" s="1"/>
  <c r="L92" i="3"/>
  <c r="L118" i="3" s="1"/>
  <c r="C65" i="3"/>
  <c r="P37" i="3"/>
  <c r="L33" i="3"/>
  <c r="E88" i="3"/>
  <c r="L37" i="3"/>
  <c r="AA37" i="3"/>
  <c r="B21" i="1"/>
  <c r="P68" i="3"/>
  <c r="E68" i="3"/>
  <c r="E58" i="3"/>
  <c r="C35" i="3"/>
  <c r="F38" i="3"/>
  <c r="C63" i="3"/>
  <c r="X37" i="3"/>
  <c r="U37" i="3"/>
  <c r="B20" i="1"/>
  <c r="B19" i="1"/>
  <c r="B2" i="1"/>
  <c r="A1" i="13"/>
  <c r="C14" i="13"/>
  <c r="A20" i="13"/>
  <c r="A7" i="13"/>
  <c r="C12" i="13"/>
  <c r="A17" i="13"/>
  <c r="A8" i="13"/>
  <c r="D13" i="13"/>
  <c r="A18" i="13"/>
  <c r="A9" i="13"/>
  <c r="A12" i="13"/>
  <c r="A21" i="13"/>
  <c r="A4" i="13"/>
  <c r="A22" i="13"/>
  <c r="D14" i="13"/>
  <c r="A16" i="13"/>
  <c r="A6" i="13"/>
  <c r="D12" i="13"/>
  <c r="A14" i="13"/>
  <c r="A2" i="13"/>
  <c r="E16" i="15"/>
  <c r="A24" i="13"/>
  <c r="A3" i="13"/>
  <c r="A13" i="13"/>
  <c r="C13" i="13"/>
  <c r="A11" i="13"/>
  <c r="B3" i="15"/>
  <c r="B6" i="15"/>
  <c r="R9" i="15"/>
  <c r="K12" i="15"/>
  <c r="C14" i="15"/>
  <c r="E39" i="15"/>
  <c r="D86" i="15"/>
  <c r="E115" i="15"/>
  <c r="E147" i="15"/>
  <c r="E191" i="15"/>
  <c r="E223" i="15"/>
  <c r="E267" i="15"/>
  <c r="E311" i="15"/>
  <c r="C364" i="15"/>
  <c r="E43" i="15"/>
  <c r="E227" i="15"/>
  <c r="B8" i="15"/>
  <c r="B12" i="15"/>
  <c r="M12" i="15"/>
  <c r="E47" i="15"/>
  <c r="E91" i="15"/>
  <c r="E123" i="15"/>
  <c r="E155" i="15"/>
  <c r="E199" i="15"/>
  <c r="E231" i="15"/>
  <c r="E275" i="15"/>
  <c r="E319" i="15"/>
  <c r="E35" i="15"/>
  <c r="E187" i="15"/>
  <c r="B364" i="15"/>
  <c r="E87" i="15"/>
  <c r="E271" i="15"/>
  <c r="B10" i="15"/>
  <c r="B9" i="15"/>
  <c r="N12" i="15"/>
  <c r="E19" i="15"/>
  <c r="E51" i="15"/>
  <c r="E95" i="15"/>
  <c r="E127" i="15"/>
  <c r="D174" i="15"/>
  <c r="E203" i="15"/>
  <c r="E235" i="15"/>
  <c r="E279" i="15"/>
  <c r="C338" i="15"/>
  <c r="R12" i="15"/>
  <c r="C13" i="15"/>
  <c r="E143" i="15"/>
  <c r="D310" i="15"/>
  <c r="D15" i="15"/>
  <c r="E195" i="15"/>
  <c r="G12" i="15"/>
  <c r="O12" i="15"/>
  <c r="E23" i="15"/>
  <c r="E55" i="15"/>
  <c r="E99" i="15"/>
  <c r="E131" i="15"/>
  <c r="E175" i="15"/>
  <c r="E207" i="15"/>
  <c r="E239" i="15"/>
  <c r="E283" i="15"/>
  <c r="D339" i="15"/>
  <c r="V12" i="15"/>
  <c r="J12" i="15"/>
  <c r="E111" i="15"/>
  <c r="E263" i="15"/>
  <c r="L12" i="15"/>
  <c r="E151" i="15"/>
  <c r="S338" i="15"/>
  <c r="K9" i="15"/>
  <c r="H12" i="15"/>
  <c r="Q12" i="15"/>
  <c r="E27" i="15"/>
  <c r="E59" i="15"/>
  <c r="E103" i="15"/>
  <c r="E135" i="15"/>
  <c r="E179" i="15"/>
  <c r="E211" i="15"/>
  <c r="E243" i="15"/>
  <c r="E287" i="15"/>
  <c r="E340" i="15"/>
  <c r="W12" i="15"/>
  <c r="K8" i="15"/>
  <c r="E67" i="15"/>
  <c r="E219" i="15"/>
  <c r="R10" i="15"/>
  <c r="E119" i="15"/>
  <c r="E315" i="15"/>
  <c r="K10" i="15"/>
  <c r="I12" i="15"/>
  <c r="B13" i="15"/>
  <c r="E31" i="15"/>
  <c r="E63" i="15"/>
  <c r="E107" i="15"/>
  <c r="E139" i="15"/>
  <c r="E183" i="15"/>
  <c r="E215" i="15"/>
  <c r="D262" i="15"/>
  <c r="E291" i="15"/>
  <c r="E344" i="15"/>
  <c r="V9" i="15"/>
  <c r="B4" i="15"/>
  <c r="K3" i="15"/>
  <c r="K4" i="15"/>
  <c r="A2" i="23" l="1"/>
  <c r="A2" i="24"/>
  <c r="A2" i="21"/>
  <c r="C29" i="1"/>
  <c r="A5" i="33"/>
  <c r="B281" i="30"/>
  <c r="A2" i="31"/>
  <c r="B261" i="30"/>
  <c r="A264" i="30"/>
  <c r="C264" i="30"/>
  <c r="B264" i="30"/>
  <c r="A1" i="31"/>
  <c r="K16" i="16"/>
  <c r="K25" i="16" s="1"/>
  <c r="F25" i="16"/>
  <c r="J16" i="16"/>
  <c r="J25" i="16" s="1"/>
  <c r="E25" i="16"/>
  <c r="C30" i="16"/>
  <c r="W30" i="16"/>
  <c r="N16" i="16"/>
  <c r="N25" i="16" s="1"/>
  <c r="I25" i="16"/>
  <c r="C29" i="16"/>
  <c r="W29" i="16"/>
  <c r="M16" i="16"/>
  <c r="M25" i="16" s="1"/>
  <c r="H25" i="16"/>
  <c r="C31" i="16"/>
  <c r="W31" i="16"/>
  <c r="L16" i="16"/>
  <c r="L25" i="16" s="1"/>
  <c r="G25" i="16"/>
  <c r="B20" i="16"/>
  <c r="B26" i="16"/>
  <c r="J38" i="3"/>
  <c r="R69" i="3"/>
  <c r="N38" i="3"/>
  <c r="N69" i="3"/>
  <c r="J69" i="3"/>
  <c r="F69" i="3"/>
  <c r="F119" i="3" s="1"/>
  <c r="Y38" i="3"/>
  <c r="R38" i="3"/>
  <c r="AB38" i="3"/>
  <c r="V38" i="3"/>
  <c r="A261" i="30"/>
  <c r="C261" i="30"/>
  <c r="C281" i="30"/>
  <c r="A613" i="30"/>
  <c r="B613" i="30"/>
  <c r="C613" i="30"/>
  <c r="A281" i="30"/>
  <c r="E37" i="3" l="1"/>
  <c r="B21" i="16"/>
  <c r="B29" i="16"/>
  <c r="H37" i="3"/>
  <c r="H68" i="3"/>
  <c r="H92" i="3" s="1"/>
  <c r="H118" i="3" s="1"/>
  <c r="B22" i="16" l="1"/>
  <c r="B31" i="16" s="1"/>
  <c r="B30" i="16"/>
  <c r="B4" i="28"/>
  <c r="C11" i="28" l="1"/>
  <c r="C8" i="28"/>
  <c r="CY3" i="28"/>
  <c r="CX3" i="28"/>
  <c r="CW3" i="28"/>
  <c r="CV3" i="28"/>
  <c r="CU3" i="28"/>
  <c r="CT3" i="28"/>
  <c r="CS3" i="28"/>
  <c r="CR3" i="28"/>
  <c r="CQ3" i="28"/>
  <c r="CP3" i="28"/>
  <c r="CO3" i="28"/>
  <c r="CN3" i="28"/>
  <c r="CM3" i="28"/>
  <c r="CL3" i="28"/>
  <c r="CK3" i="28"/>
  <c r="CJ3" i="28"/>
  <c r="CI3" i="28"/>
  <c r="CH3" i="28"/>
  <c r="CG3" i="28"/>
  <c r="CF3" i="28"/>
  <c r="CE3" i="28"/>
  <c r="CD3" i="28"/>
  <c r="CC3" i="28"/>
  <c r="CB3" i="28"/>
  <c r="CA3" i="28"/>
  <c r="BZ3" i="28"/>
  <c r="BY3" i="28"/>
  <c r="BX3" i="28"/>
  <c r="BW3" i="28"/>
  <c r="BV3" i="28"/>
  <c r="BU3" i="28"/>
  <c r="BT3" i="28"/>
  <c r="BS3" i="28"/>
  <c r="BR3" i="28"/>
  <c r="BQ3" i="28"/>
  <c r="BP3" i="28"/>
  <c r="BO3" i="28"/>
  <c r="BN3" i="28"/>
  <c r="BM3" i="28"/>
  <c r="BL3" i="28"/>
  <c r="BK3" i="28"/>
  <c r="BJ3" i="28"/>
  <c r="BI3" i="28"/>
  <c r="BH3" i="28"/>
  <c r="BG3" i="28"/>
  <c r="BF3" i="28"/>
  <c r="BE3" i="28"/>
  <c r="BD3" i="28"/>
  <c r="BC3" i="28"/>
  <c r="BB3" i="28"/>
  <c r="AG3" i="28"/>
  <c r="AF3" i="28"/>
  <c r="AE3" i="28"/>
  <c r="AD3" i="28"/>
  <c r="AC3" i="28"/>
  <c r="AB3" i="28"/>
  <c r="AA3" i="28"/>
  <c r="Z3" i="28"/>
  <c r="Y3" i="28"/>
  <c r="X3" i="28"/>
  <c r="E3" i="28"/>
  <c r="D3" i="28"/>
  <c r="E2" i="28"/>
  <c r="F2" i="28" s="1"/>
  <c r="G2" i="28" s="1"/>
  <c r="H2" i="28" s="1"/>
  <c r="I2" i="28" s="1"/>
  <c r="J2" i="28" s="1"/>
  <c r="K2" i="28" s="1"/>
  <c r="L2" i="28" s="1"/>
  <c r="M2" i="28" s="1"/>
  <c r="F3" i="28" l="1"/>
  <c r="F4" i="28" s="1"/>
  <c r="AH3" i="28"/>
  <c r="BU4" i="28"/>
  <c r="D4" i="28"/>
  <c r="AE4" i="28"/>
  <c r="BV4" i="28"/>
  <c r="Y4" i="28"/>
  <c r="BC4" i="28"/>
  <c r="BN4" i="28"/>
  <c r="CT4" i="28"/>
  <c r="BH4" i="28"/>
  <c r="BX4" i="28"/>
  <c r="CN4" i="28"/>
  <c r="CC4" i="28"/>
  <c r="AG4" i="28"/>
  <c r="CD4" i="28"/>
  <c r="BP4" i="28"/>
  <c r="CF4" i="28"/>
  <c r="CV4" i="28"/>
  <c r="Z4" i="28"/>
  <c r="BE4" i="28"/>
  <c r="CK4" i="28"/>
  <c r="BK4" i="28"/>
  <c r="BS4" i="28"/>
  <c r="CA4" i="28"/>
  <c r="CI4" i="28"/>
  <c r="CQ4" i="28"/>
  <c r="CY4" i="28"/>
  <c r="BF4" i="28"/>
  <c r="CL4" i="28"/>
  <c r="AB4" i="28"/>
  <c r="C12" i="28"/>
  <c r="BM4" i="28"/>
  <c r="CS4" i="28"/>
  <c r="N2" i="28"/>
  <c r="O2" i="28" s="1"/>
  <c r="P2" i="28" s="1"/>
  <c r="Q2" i="28" s="1"/>
  <c r="R2" i="28" s="1"/>
  <c r="S2" i="28" s="1"/>
  <c r="T2" i="28" s="1"/>
  <c r="U2" i="28" s="1"/>
  <c r="V2" i="28" s="1"/>
  <c r="W2" i="28" s="1"/>
  <c r="X2" i="28" s="1"/>
  <c r="Y2" i="28" s="1"/>
  <c r="Z2" i="28" s="1"/>
  <c r="AA2" i="28" s="1"/>
  <c r="AB2" i="28" s="1"/>
  <c r="AC2" i="28" s="1"/>
  <c r="AD2" i="28" s="1"/>
  <c r="AE2" i="28" s="1"/>
  <c r="AF2" i="28" s="1"/>
  <c r="AG2" i="28" s="1"/>
  <c r="C7" i="28"/>
  <c r="X4" i="28"/>
  <c r="AF4" i="28"/>
  <c r="BD4" i="28"/>
  <c r="BL4" i="28"/>
  <c r="BT4" i="28"/>
  <c r="CB4" i="28"/>
  <c r="CJ4" i="28"/>
  <c r="CR4" i="28"/>
  <c r="C6" i="28"/>
  <c r="AA4" i="28"/>
  <c r="BG4" i="28"/>
  <c r="BO4" i="28"/>
  <c r="BW4" i="28"/>
  <c r="CE4" i="28"/>
  <c r="CM4" i="28"/>
  <c r="CU4" i="28"/>
  <c r="C9" i="28"/>
  <c r="E4" i="28"/>
  <c r="AC4" i="28"/>
  <c r="BI4" i="28"/>
  <c r="BQ4" i="28"/>
  <c r="BY4" i="28"/>
  <c r="CG4" i="28"/>
  <c r="CO4" i="28"/>
  <c r="CW4" i="28"/>
  <c r="AD4" i="28"/>
  <c r="BB4" i="28"/>
  <c r="BJ4" i="28"/>
  <c r="BR4" i="28"/>
  <c r="BZ4" i="28"/>
  <c r="CH4" i="28"/>
  <c r="CP4" i="28"/>
  <c r="CX4" i="28"/>
  <c r="G3" i="28" l="1"/>
  <c r="AI3" i="28"/>
  <c r="AI4" i="28" s="1"/>
  <c r="AH4" i="28"/>
  <c r="AH2" i="28"/>
  <c r="AI2" i="28" s="1"/>
  <c r="AJ2" i="28" s="1"/>
  <c r="AK2" i="28" s="1"/>
  <c r="AL2" i="28" s="1"/>
  <c r="AM2" i="28" s="1"/>
  <c r="AN2" i="28" s="1"/>
  <c r="AO2" i="28" s="1"/>
  <c r="AP2" i="28" s="1"/>
  <c r="AQ2" i="28" s="1"/>
  <c r="AR2" i="28" s="1"/>
  <c r="AS2" i="28" s="1"/>
  <c r="AT2" i="28" s="1"/>
  <c r="AU2" i="28" s="1"/>
  <c r="AV2" i="28" s="1"/>
  <c r="AW2" i="28" s="1"/>
  <c r="AX2" i="28" s="1"/>
  <c r="AY2" i="28" s="1"/>
  <c r="AZ2" i="28" s="1"/>
  <c r="BA2" i="28" s="1"/>
  <c r="BB2" i="28" s="1"/>
  <c r="BC2" i="28" s="1"/>
  <c r="BD2" i="28" s="1"/>
  <c r="BE2" i="28" s="1"/>
  <c r="BF2" i="28" s="1"/>
  <c r="BG2" i="28" s="1"/>
  <c r="BH2" i="28" s="1"/>
  <c r="BI2" i="28" s="1"/>
  <c r="BJ2" i="28" s="1"/>
  <c r="BK2" i="28" s="1"/>
  <c r="BL2" i="28" s="1"/>
  <c r="BM2" i="28" s="1"/>
  <c r="BN2" i="28" s="1"/>
  <c r="BO2" i="28" s="1"/>
  <c r="BP2" i="28" s="1"/>
  <c r="BQ2" i="28" s="1"/>
  <c r="BR2" i="28" s="1"/>
  <c r="BS2" i="28" s="1"/>
  <c r="BT2" i="28" s="1"/>
  <c r="BU2" i="28" s="1"/>
  <c r="BV2" i="28" s="1"/>
  <c r="BW2" i="28" s="1"/>
  <c r="BX2" i="28" s="1"/>
  <c r="BY2" i="28" s="1"/>
  <c r="BZ2" i="28" s="1"/>
  <c r="CA2" i="28" s="1"/>
  <c r="CB2" i="28" s="1"/>
  <c r="CC2" i="28" s="1"/>
  <c r="CD2" i="28" s="1"/>
  <c r="CE2" i="28" s="1"/>
  <c r="CF2" i="28" s="1"/>
  <c r="CG2" i="28" s="1"/>
  <c r="CH2" i="28" s="1"/>
  <c r="CI2" i="28" s="1"/>
  <c r="CJ2" i="28" s="1"/>
  <c r="CK2" i="28" s="1"/>
  <c r="CL2" i="28" s="1"/>
  <c r="CM2" i="28" s="1"/>
  <c r="CN2" i="28" s="1"/>
  <c r="CO2" i="28" s="1"/>
  <c r="CP2" i="28" s="1"/>
  <c r="CQ2" i="28" s="1"/>
  <c r="CR2" i="28" s="1"/>
  <c r="CS2" i="28" s="1"/>
  <c r="CT2" i="28" s="1"/>
  <c r="CU2" i="28" s="1"/>
  <c r="CV2" i="28" s="1"/>
  <c r="CW2" i="28" s="1"/>
  <c r="CX2" i="28" s="1"/>
  <c r="CY2" i="28" s="1"/>
  <c r="C10" i="28"/>
  <c r="H3" i="28" l="1"/>
  <c r="G4" i="28"/>
  <c r="AJ3" i="28"/>
  <c r="AJ4" i="28" s="1"/>
  <c r="I3" i="28" l="1"/>
  <c r="H4" i="28"/>
  <c r="AK3" i="28"/>
  <c r="J3" i="28" l="1"/>
  <c r="I4" i="28"/>
  <c r="AL3" i="28"/>
  <c r="AK4" i="28"/>
  <c r="K3" i="28" l="1"/>
  <c r="J4" i="28"/>
  <c r="AL4" i="28"/>
  <c r="AM3" i="28"/>
  <c r="L3" i="28" l="1"/>
  <c r="K4" i="28"/>
  <c r="AN3" i="28"/>
  <c r="AM4" i="28"/>
  <c r="M3" i="28" l="1"/>
  <c r="L4" i="28"/>
  <c r="AN4" i="28"/>
  <c r="AO3" i="28"/>
  <c r="M4" i="28" l="1"/>
  <c r="N3" i="28"/>
  <c r="AP3" i="28"/>
  <c r="AO4" i="28"/>
  <c r="N4" i="28" l="1"/>
  <c r="O3" i="28"/>
  <c r="P3" i="28" s="1"/>
  <c r="AQ3" i="28"/>
  <c r="AP4" i="28"/>
  <c r="Q3" i="28" l="1"/>
  <c r="P4" i="28"/>
  <c r="O4" i="28"/>
  <c r="AQ4" i="28"/>
  <c r="AR3" i="28"/>
  <c r="R3" i="28" l="1"/>
  <c r="Q4" i="28"/>
  <c r="AR4" i="28"/>
  <c r="AS3" i="28"/>
  <c r="R4" i="28" l="1"/>
  <c r="S3" i="28"/>
  <c r="AS4" i="28"/>
  <c r="AT3" i="28"/>
  <c r="T3" i="28" l="1"/>
  <c r="S4" i="28"/>
  <c r="AU3" i="28"/>
  <c r="AT4" i="28"/>
  <c r="U3" i="28" l="1"/>
  <c r="T4" i="28"/>
  <c r="AU4" i="28"/>
  <c r="AV3" i="28"/>
  <c r="V3" i="28" l="1"/>
  <c r="U4" i="28"/>
  <c r="AW3" i="28"/>
  <c r="AV4" i="28"/>
  <c r="V4" i="28" l="1"/>
  <c r="W3" i="28"/>
  <c r="AW4" i="28"/>
  <c r="AX3" i="28"/>
  <c r="W4" i="28" l="1"/>
  <c r="AY3" i="28"/>
  <c r="AX4" i="28"/>
  <c r="AY4" i="28" l="1"/>
  <c r="AZ3" i="28"/>
  <c r="C22" i="24"/>
  <c r="C84" i="24"/>
  <c r="C85" i="24" s="1"/>
  <c r="A1" i="24"/>
  <c r="D60" i="24"/>
  <c r="D61" i="24" s="1"/>
  <c r="D62" i="24" s="1"/>
  <c r="D63" i="24" s="1"/>
  <c r="D64" i="24" s="1"/>
  <c r="C45" i="24"/>
  <c r="C46" i="24" s="1"/>
  <c r="C47" i="24" s="1"/>
  <c r="C48" i="24" s="1"/>
  <c r="C49" i="24" s="1"/>
  <c r="C50" i="24" s="1"/>
  <c r="C51" i="24" s="1"/>
  <c r="C52" i="24" s="1"/>
  <c r="C53" i="24" s="1"/>
  <c r="C54" i="24" s="1"/>
  <c r="C55" i="24" s="1"/>
  <c r="C56" i="24" s="1"/>
  <c r="D38" i="24"/>
  <c r="D55" i="24" s="1"/>
  <c r="D37" i="24"/>
  <c r="D54" i="24" s="1"/>
  <c r="D36" i="24"/>
  <c r="D53" i="24" s="1"/>
  <c r="D35" i="24"/>
  <c r="D52" i="24" s="1"/>
  <c r="D34" i="24"/>
  <c r="D51" i="24" s="1"/>
  <c r="D33" i="24"/>
  <c r="D50" i="24" s="1"/>
  <c r="D32" i="24"/>
  <c r="D49" i="24" s="1"/>
  <c r="D31" i="24"/>
  <c r="D48" i="24" s="1"/>
  <c r="D30" i="24"/>
  <c r="D47" i="24" s="1"/>
  <c r="D29" i="24"/>
  <c r="D46" i="24" s="1"/>
  <c r="D28" i="24"/>
  <c r="D45" i="24" s="1"/>
  <c r="C28" i="24"/>
  <c r="C29" i="24" s="1"/>
  <c r="C30" i="24" s="1"/>
  <c r="C31" i="24" s="1"/>
  <c r="C32" i="24" s="1"/>
  <c r="C33" i="24" s="1"/>
  <c r="C34" i="24" s="1"/>
  <c r="C35" i="24" s="1"/>
  <c r="C36" i="24" s="1"/>
  <c r="C37" i="24" s="1"/>
  <c r="C38" i="24" s="1"/>
  <c r="C39" i="24" s="1"/>
  <c r="D27" i="24"/>
  <c r="D44" i="24" s="1"/>
  <c r="A3" i="24"/>
  <c r="B15" i="24" s="1"/>
  <c r="A1" i="23"/>
  <c r="A3" i="23"/>
  <c r="B21" i="23" s="1"/>
  <c r="C660" i="30" l="1"/>
  <c r="A660" i="30"/>
  <c r="B660" i="30"/>
  <c r="B661" i="30"/>
  <c r="C661" i="30"/>
  <c r="A661" i="30"/>
  <c r="AZ4" i="28"/>
  <c r="BA3" i="28"/>
  <c r="BA4" i="28" l="1"/>
  <c r="B21" i="21" l="1"/>
  <c r="A1" i="21"/>
  <c r="C238" i="5"/>
  <c r="C239" i="5" s="1"/>
  <c r="A1" i="18" l="1"/>
  <c r="C78" i="18"/>
  <c r="C79" i="18" s="1"/>
  <c r="C80" i="18" s="1"/>
  <c r="C81" i="18" s="1"/>
  <c r="C82" i="18" s="1"/>
  <c r="C83" i="18" s="1"/>
  <c r="D70" i="18"/>
  <c r="D71" i="18" s="1"/>
  <c r="D72" i="18" s="1"/>
  <c r="D73" i="18" s="1"/>
  <c r="D74" i="18" s="1"/>
  <c r="C55" i="18"/>
  <c r="C56" i="18" s="1"/>
  <c r="C57" i="18" s="1"/>
  <c r="C58" i="18" s="1"/>
  <c r="C59" i="18" s="1"/>
  <c r="C60" i="18" s="1"/>
  <c r="C61" i="18" s="1"/>
  <c r="C62" i="18" s="1"/>
  <c r="C63" i="18" s="1"/>
  <c r="C64" i="18" s="1"/>
  <c r="C65" i="18" s="1"/>
  <c r="C66" i="18" s="1"/>
  <c r="C38" i="18"/>
  <c r="C39" i="18" s="1"/>
  <c r="C40" i="18" s="1"/>
  <c r="C41" i="18" s="1"/>
  <c r="C42" i="18" s="1"/>
  <c r="C43" i="18" s="1"/>
  <c r="C44" i="18" s="1"/>
  <c r="C45" i="18" s="1"/>
  <c r="C46" i="18" s="1"/>
  <c r="C47" i="18" s="1"/>
  <c r="C48" i="18" s="1"/>
  <c r="C49" i="18" s="1"/>
  <c r="C27" i="18"/>
  <c r="C28" i="18" s="1"/>
  <c r="C29" i="18" s="1"/>
  <c r="C30" i="18" s="1"/>
  <c r="C31" i="18" s="1"/>
  <c r="C32" i="18" s="1"/>
  <c r="C21" i="18"/>
  <c r="C22" i="18" s="1"/>
  <c r="C23" i="18" s="1"/>
  <c r="D15" i="18"/>
  <c r="C10" i="18"/>
  <c r="C11" i="18" s="1"/>
  <c r="C12" i="18" s="1"/>
  <c r="C13" i="18" s="1"/>
  <c r="C14" i="18" s="1"/>
  <c r="C15" i="18" s="1"/>
  <c r="C16" i="18" s="1"/>
  <c r="C17" i="18" s="1"/>
  <c r="A3" i="18"/>
  <c r="B21" i="18" s="1"/>
  <c r="A2" i="18"/>
  <c r="H101" i="5" l="1"/>
  <c r="H100" i="5"/>
  <c r="H102" i="5" l="1"/>
  <c r="H103" i="5"/>
  <c r="H109" i="5"/>
  <c r="H104" i="5"/>
  <c r="H105" i="5"/>
  <c r="H110" i="5"/>
  <c r="H108" i="5"/>
  <c r="H107" i="5"/>
  <c r="H106" i="5"/>
  <c r="D84" i="24"/>
  <c r="X54" i="3"/>
  <c r="X53" i="3"/>
  <c r="X52" i="3"/>
  <c r="X51" i="3"/>
  <c r="X50" i="3"/>
  <c r="X49" i="3"/>
  <c r="X48" i="3"/>
  <c r="X47" i="3"/>
  <c r="X46" i="3"/>
  <c r="X45" i="3"/>
  <c r="X44" i="3"/>
  <c r="X43" i="3"/>
  <c r="X42" i="3"/>
  <c r="X41" i="3"/>
  <c r="X40" i="3"/>
  <c r="D11" i="16"/>
  <c r="D10" i="16"/>
  <c r="A2" i="3" l="1"/>
  <c r="N34" i="3" s="1"/>
  <c r="D124" i="3" l="1"/>
  <c r="D121" i="3"/>
  <c r="D98" i="3"/>
  <c r="D95" i="3"/>
  <c r="D74" i="3"/>
  <c r="D71" i="3"/>
  <c r="D43" i="3"/>
  <c r="D40" i="3"/>
  <c r="D238" i="5" l="1"/>
  <c r="G35" i="16" l="1"/>
  <c r="F29" i="16"/>
  <c r="G29" i="16"/>
  <c r="H29" i="16"/>
  <c r="I29" i="16"/>
  <c r="F30" i="16"/>
  <c r="G30" i="16"/>
  <c r="H30" i="16"/>
  <c r="I30" i="16"/>
  <c r="F31" i="16"/>
  <c r="G31" i="16"/>
  <c r="H31" i="16"/>
  <c r="I31" i="16"/>
  <c r="E30" i="16"/>
  <c r="E31" i="16"/>
  <c r="E29" i="16"/>
  <c r="F49" i="16"/>
  <c r="F48" i="16"/>
  <c r="F47" i="16"/>
  <c r="F46" i="16"/>
  <c r="F45" i="16"/>
  <c r="F44" i="16"/>
  <c r="F43" i="16"/>
  <c r="F42" i="16"/>
  <c r="F41" i="16"/>
  <c r="F40" i="16"/>
  <c r="F39" i="16"/>
  <c r="F38" i="16"/>
  <c r="F37" i="16"/>
  <c r="F36" i="16"/>
  <c r="F35" i="16"/>
  <c r="J136" i="3"/>
  <c r="F136" i="3"/>
  <c r="L135" i="3"/>
  <c r="P135" i="3" s="1"/>
  <c r="H135" i="3"/>
  <c r="E135" i="3"/>
  <c r="L134" i="3"/>
  <c r="P134" i="3" s="1"/>
  <c r="H134" i="3"/>
  <c r="E134" i="3"/>
  <c r="L133" i="3"/>
  <c r="P133" i="3" s="1"/>
  <c r="H133" i="3"/>
  <c r="E133" i="3"/>
  <c r="L132" i="3"/>
  <c r="P132" i="3" s="1"/>
  <c r="H132" i="3"/>
  <c r="E132" i="3"/>
  <c r="L131" i="3"/>
  <c r="P131" i="3" s="1"/>
  <c r="H131" i="3"/>
  <c r="E131" i="3"/>
  <c r="L130" i="3"/>
  <c r="P130" i="3" s="1"/>
  <c r="H130" i="3"/>
  <c r="E130" i="3"/>
  <c r="L129" i="3"/>
  <c r="P129" i="3" s="1"/>
  <c r="H129" i="3"/>
  <c r="E129" i="3"/>
  <c r="L128" i="3"/>
  <c r="P128" i="3" s="1"/>
  <c r="H128" i="3"/>
  <c r="E128" i="3"/>
  <c r="L127" i="3"/>
  <c r="P127" i="3" s="1"/>
  <c r="H127" i="3"/>
  <c r="E127" i="3"/>
  <c r="L126" i="3"/>
  <c r="P126" i="3" s="1"/>
  <c r="H126" i="3"/>
  <c r="E126" i="3"/>
  <c r="L125" i="3"/>
  <c r="P125" i="3" s="1"/>
  <c r="H125" i="3"/>
  <c r="E125" i="3"/>
  <c r="L124" i="3"/>
  <c r="P124" i="3" s="1"/>
  <c r="H124" i="3"/>
  <c r="E124" i="3"/>
  <c r="L123" i="3"/>
  <c r="P123" i="3" s="1"/>
  <c r="H123" i="3"/>
  <c r="E123" i="3"/>
  <c r="L122" i="3"/>
  <c r="P122" i="3" s="1"/>
  <c r="H122" i="3"/>
  <c r="E122" i="3"/>
  <c r="L121" i="3"/>
  <c r="P121" i="3" s="1"/>
  <c r="H121" i="3"/>
  <c r="E121" i="3"/>
  <c r="J110" i="3"/>
  <c r="F110" i="3"/>
  <c r="L109" i="3"/>
  <c r="H109" i="3"/>
  <c r="E109" i="3"/>
  <c r="L108" i="3"/>
  <c r="H108" i="3"/>
  <c r="E108" i="3"/>
  <c r="L107" i="3"/>
  <c r="H107" i="3"/>
  <c r="E107" i="3"/>
  <c r="L106" i="3"/>
  <c r="H106" i="3"/>
  <c r="E106" i="3"/>
  <c r="L105" i="3"/>
  <c r="H105" i="3"/>
  <c r="E105" i="3"/>
  <c r="L104" i="3"/>
  <c r="H104" i="3"/>
  <c r="E104" i="3"/>
  <c r="L103" i="3"/>
  <c r="H103" i="3"/>
  <c r="E103" i="3"/>
  <c r="L102" i="3"/>
  <c r="H102" i="3"/>
  <c r="E102" i="3"/>
  <c r="L101" i="3"/>
  <c r="H101" i="3"/>
  <c r="E101" i="3"/>
  <c r="L100" i="3"/>
  <c r="H100" i="3"/>
  <c r="E100" i="3"/>
  <c r="L99" i="3"/>
  <c r="H99" i="3"/>
  <c r="E99" i="3"/>
  <c r="L98" i="3"/>
  <c r="H98" i="3"/>
  <c r="E98" i="3"/>
  <c r="L97" i="3"/>
  <c r="P97" i="3" s="1"/>
  <c r="H97" i="3"/>
  <c r="E97" i="3"/>
  <c r="L96" i="3"/>
  <c r="P96" i="3" s="1"/>
  <c r="H96" i="3"/>
  <c r="E96" i="3"/>
  <c r="L95" i="3"/>
  <c r="P95" i="3" s="1"/>
  <c r="H95" i="3"/>
  <c r="E95" i="3"/>
  <c r="J86" i="3"/>
  <c r="H85" i="3"/>
  <c r="H84" i="3"/>
  <c r="H83" i="3"/>
  <c r="H82" i="3"/>
  <c r="H81" i="3"/>
  <c r="H80" i="3"/>
  <c r="H79" i="3"/>
  <c r="H78" i="3"/>
  <c r="H77" i="3"/>
  <c r="H76" i="3"/>
  <c r="H75" i="3"/>
  <c r="H74" i="3"/>
  <c r="H73" i="3"/>
  <c r="H72" i="3"/>
  <c r="H71" i="3"/>
  <c r="J55" i="3"/>
  <c r="H54" i="3"/>
  <c r="H53" i="3"/>
  <c r="H52" i="3"/>
  <c r="H51" i="3"/>
  <c r="H50" i="3"/>
  <c r="H49" i="3"/>
  <c r="H48" i="3"/>
  <c r="H47" i="3"/>
  <c r="H46" i="3"/>
  <c r="H45" i="3"/>
  <c r="H44" i="3"/>
  <c r="H43" i="3"/>
  <c r="H42" i="3"/>
  <c r="H41" i="3"/>
  <c r="H40" i="3"/>
  <c r="F86" i="3"/>
  <c r="L85" i="3"/>
  <c r="P85" i="3" s="1"/>
  <c r="E85" i="3"/>
  <c r="L84" i="3"/>
  <c r="P84" i="3" s="1"/>
  <c r="E84" i="3"/>
  <c r="L83" i="3"/>
  <c r="P83" i="3" s="1"/>
  <c r="E83" i="3"/>
  <c r="L82" i="3"/>
  <c r="P82" i="3" s="1"/>
  <c r="E82" i="3"/>
  <c r="L81" i="3"/>
  <c r="P81" i="3" s="1"/>
  <c r="E81" i="3"/>
  <c r="L80" i="3"/>
  <c r="P80" i="3" s="1"/>
  <c r="E80" i="3"/>
  <c r="L79" i="3"/>
  <c r="P79" i="3" s="1"/>
  <c r="E79" i="3"/>
  <c r="L78" i="3"/>
  <c r="P78" i="3" s="1"/>
  <c r="E78" i="3"/>
  <c r="L77" i="3"/>
  <c r="P77" i="3" s="1"/>
  <c r="E77" i="3"/>
  <c r="L76" i="3"/>
  <c r="P76" i="3" s="1"/>
  <c r="E76" i="3"/>
  <c r="L75" i="3"/>
  <c r="P75" i="3" s="1"/>
  <c r="E75" i="3"/>
  <c r="L74" i="3"/>
  <c r="P74" i="3" s="1"/>
  <c r="E74" i="3"/>
  <c r="L73" i="3"/>
  <c r="P73" i="3" s="1"/>
  <c r="E73" i="3"/>
  <c r="L72" i="3"/>
  <c r="P72" i="3" s="1"/>
  <c r="E72" i="3"/>
  <c r="L71" i="3"/>
  <c r="P71" i="3" s="1"/>
  <c r="E71" i="3"/>
  <c r="F55" i="3"/>
  <c r="F23" i="3" s="1"/>
  <c r="L54" i="3"/>
  <c r="L53" i="3"/>
  <c r="L52" i="3"/>
  <c r="L51" i="3"/>
  <c r="L50" i="3"/>
  <c r="L49" i="3"/>
  <c r="L48" i="3"/>
  <c r="L47" i="3"/>
  <c r="L46" i="3"/>
  <c r="L45" i="3"/>
  <c r="L44" i="3"/>
  <c r="L43" i="3"/>
  <c r="L42" i="3"/>
  <c r="L41" i="3"/>
  <c r="E42" i="3"/>
  <c r="E41" i="3"/>
  <c r="E54" i="3"/>
  <c r="E53" i="3"/>
  <c r="E52" i="3"/>
  <c r="E51" i="3"/>
  <c r="E50" i="3"/>
  <c r="E49" i="3"/>
  <c r="E48" i="3"/>
  <c r="E47" i="3"/>
  <c r="E46" i="3"/>
  <c r="E45" i="3"/>
  <c r="E44" i="3"/>
  <c r="E43" i="3"/>
  <c r="E40" i="3"/>
  <c r="D58" i="16"/>
  <c r="G49" i="16"/>
  <c r="C49" i="16"/>
  <c r="G48" i="16"/>
  <c r="C48" i="16"/>
  <c r="G47" i="16"/>
  <c r="C47" i="16"/>
  <c r="G46" i="16"/>
  <c r="C46" i="16"/>
  <c r="D48" i="5" s="1"/>
  <c r="G45" i="16"/>
  <c r="C45" i="16"/>
  <c r="D47" i="5" s="1"/>
  <c r="G44" i="16"/>
  <c r="C44" i="16"/>
  <c r="D46" i="5" s="1"/>
  <c r="G43" i="16"/>
  <c r="C43" i="16"/>
  <c r="D45" i="5" s="1"/>
  <c r="G42" i="16"/>
  <c r="C42" i="16"/>
  <c r="D44" i="5" s="1"/>
  <c r="G41" i="16"/>
  <c r="C41" i="16"/>
  <c r="D43" i="5" s="1"/>
  <c r="G40" i="16"/>
  <c r="C40" i="16"/>
  <c r="D42" i="5" s="1"/>
  <c r="G39" i="16"/>
  <c r="C39" i="16"/>
  <c r="D41" i="5" s="1"/>
  <c r="G38" i="16"/>
  <c r="C38" i="16"/>
  <c r="D40" i="5" s="1"/>
  <c r="G37" i="16"/>
  <c r="C37" i="16"/>
  <c r="D39" i="5" s="1"/>
  <c r="G36" i="16"/>
  <c r="C36" i="16"/>
  <c r="D38" i="5" s="1"/>
  <c r="C35" i="16"/>
  <c r="D37" i="5" s="1"/>
  <c r="D31" i="16"/>
  <c r="D30" i="16"/>
  <c r="D29" i="16"/>
  <c r="C27" i="16"/>
  <c r="F27" i="16" s="1"/>
  <c r="I18" i="16"/>
  <c r="N21" i="16" s="1"/>
  <c r="H18" i="16"/>
  <c r="M22" i="16" s="1"/>
  <c r="G18" i="16"/>
  <c r="L21" i="16" s="1"/>
  <c r="F18" i="16"/>
  <c r="K22" i="16" s="1"/>
  <c r="E18" i="16"/>
  <c r="J22" i="16" l="1"/>
  <c r="O22" i="16" s="1"/>
  <c r="J20" i="16"/>
  <c r="O20" i="16" s="1"/>
  <c r="D54" i="5"/>
  <c r="D151" i="5" s="1"/>
  <c r="D28" i="31"/>
  <c r="J37" i="5"/>
  <c r="J54" i="5" s="1"/>
  <c r="J79" i="5" s="1"/>
  <c r="J99" i="5" s="1"/>
  <c r="S99" i="5" s="1"/>
  <c r="D56" i="5"/>
  <c r="D153" i="5" s="1"/>
  <c r="J39" i="5"/>
  <c r="J56" i="5" s="1"/>
  <c r="J81" i="5" s="1"/>
  <c r="J101" i="5" s="1"/>
  <c r="S101" i="5" s="1"/>
  <c r="D30" i="31"/>
  <c r="J45" i="5"/>
  <c r="J62" i="5" s="1"/>
  <c r="J87" i="5" s="1"/>
  <c r="J107" i="5" s="1"/>
  <c r="S107" i="5" s="1"/>
  <c r="D36" i="31"/>
  <c r="D62" i="5"/>
  <c r="D159" i="5" s="1"/>
  <c r="D37" i="31"/>
  <c r="J46" i="5"/>
  <c r="J63" i="5" s="1"/>
  <c r="J88" i="5" s="1"/>
  <c r="J108" i="5" s="1"/>
  <c r="S108" i="5" s="1"/>
  <c r="D63" i="5"/>
  <c r="D160" i="5" s="1"/>
  <c r="J41" i="5"/>
  <c r="J58" i="5" s="1"/>
  <c r="J83" i="5" s="1"/>
  <c r="J103" i="5" s="1"/>
  <c r="S103" i="5" s="1"/>
  <c r="D58" i="5"/>
  <c r="D155" i="5" s="1"/>
  <c r="D32" i="31"/>
  <c r="J40" i="5"/>
  <c r="J57" i="5" s="1"/>
  <c r="J82" i="5" s="1"/>
  <c r="J102" i="5" s="1"/>
  <c r="S102" i="5" s="1"/>
  <c r="D31" i="31"/>
  <c r="D57" i="5"/>
  <c r="D154" i="5" s="1"/>
  <c r="D38" i="31"/>
  <c r="D64" i="5"/>
  <c r="D161" i="5" s="1"/>
  <c r="J47" i="5"/>
  <c r="J64" i="5" s="1"/>
  <c r="J89" i="5" s="1"/>
  <c r="J109" i="5" s="1"/>
  <c r="S109" i="5" s="1"/>
  <c r="D33" i="31"/>
  <c r="D59" i="5"/>
  <c r="D156" i="5" s="1"/>
  <c r="J42" i="5"/>
  <c r="J59" i="5" s="1"/>
  <c r="J84" i="5" s="1"/>
  <c r="J104" i="5" s="1"/>
  <c r="S104" i="5" s="1"/>
  <c r="J48" i="5"/>
  <c r="J65" i="5" s="1"/>
  <c r="J90" i="5" s="1"/>
  <c r="J110" i="5" s="1"/>
  <c r="S110" i="5" s="1"/>
  <c r="D65" i="5"/>
  <c r="D162" i="5" s="1"/>
  <c r="D39" i="31"/>
  <c r="D29" i="31"/>
  <c r="D55" i="5"/>
  <c r="D152" i="5" s="1"/>
  <c r="J38" i="5"/>
  <c r="J55" i="5" s="1"/>
  <c r="J80" i="5" s="1"/>
  <c r="J100" i="5" s="1"/>
  <c r="S100" i="5" s="1"/>
  <c r="J44" i="5"/>
  <c r="J61" i="5" s="1"/>
  <c r="J86" i="5" s="1"/>
  <c r="J106" i="5" s="1"/>
  <c r="S106" i="5" s="1"/>
  <c r="D35" i="31"/>
  <c r="D61" i="5"/>
  <c r="D158" i="5" s="1"/>
  <c r="D60" i="5"/>
  <c r="D157" i="5" s="1"/>
  <c r="D34" i="31"/>
  <c r="J43" i="5"/>
  <c r="J60" i="5" s="1"/>
  <c r="J85" i="5" s="1"/>
  <c r="J105" i="5" s="1"/>
  <c r="S105" i="5" s="1"/>
  <c r="E102" i="31"/>
  <c r="E120" i="31" s="1"/>
  <c r="E111" i="5"/>
  <c r="N102" i="31"/>
  <c r="G43" i="23"/>
  <c r="G38" i="23"/>
  <c r="G46" i="23"/>
  <c r="G41" i="23"/>
  <c r="G44" i="23"/>
  <c r="G39" i="23"/>
  <c r="G47" i="23"/>
  <c r="G42" i="23"/>
  <c r="G37" i="23"/>
  <c r="G45" i="23"/>
  <c r="G40" i="23"/>
  <c r="G48" i="23"/>
  <c r="E111" i="31"/>
  <c r="E115" i="31" s="1"/>
  <c r="E117" i="31" s="1"/>
  <c r="E139" i="31"/>
  <c r="E143" i="5"/>
  <c r="E144" i="5" s="1"/>
  <c r="G37" i="5"/>
  <c r="G54" i="5" s="1"/>
  <c r="G79" i="5" s="1"/>
  <c r="G99" i="5" s="1"/>
  <c r="P99" i="5" s="1"/>
  <c r="G38" i="5"/>
  <c r="G55" i="5" s="1"/>
  <c r="G80" i="5" s="1"/>
  <c r="G100" i="5" s="1"/>
  <c r="P100" i="5" s="1"/>
  <c r="G39" i="5"/>
  <c r="G56" i="5" s="1"/>
  <c r="G81" i="5" s="1"/>
  <c r="G101" i="5" s="1"/>
  <c r="P101" i="5" s="1"/>
  <c r="E115" i="5"/>
  <c r="E119" i="5" s="1"/>
  <c r="E121" i="5" s="1"/>
  <c r="N111" i="5"/>
  <c r="E124" i="5"/>
  <c r="P100" i="3"/>
  <c r="G42" i="18" s="1"/>
  <c r="G59" i="18" s="1"/>
  <c r="P108" i="3"/>
  <c r="P103" i="3"/>
  <c r="P105" i="3"/>
  <c r="G47" i="18" s="1"/>
  <c r="G64" i="18" s="1"/>
  <c r="P98" i="3"/>
  <c r="P106" i="3"/>
  <c r="P101" i="3"/>
  <c r="P109" i="3"/>
  <c r="P104" i="3"/>
  <c r="P99" i="3"/>
  <c r="P107" i="3"/>
  <c r="P102" i="3"/>
  <c r="K20" i="16"/>
  <c r="D37" i="18"/>
  <c r="D42" i="18"/>
  <c r="D38" i="18"/>
  <c r="D46" i="18"/>
  <c r="D43" i="18"/>
  <c r="D39" i="18"/>
  <c r="D47" i="18"/>
  <c r="D40" i="18"/>
  <c r="D44" i="18"/>
  <c r="D48" i="18"/>
  <c r="D41" i="18"/>
  <c r="D45" i="18"/>
  <c r="G38" i="18"/>
  <c r="G55" i="18" s="1"/>
  <c r="G37" i="18"/>
  <c r="G54" i="18" s="1"/>
  <c r="G39" i="18"/>
  <c r="G56" i="18" s="1"/>
  <c r="P47" i="3"/>
  <c r="AA47" i="3" s="1"/>
  <c r="U47" i="3"/>
  <c r="P40" i="3"/>
  <c r="AA40" i="3" s="1"/>
  <c r="U40" i="3"/>
  <c r="P48" i="3"/>
  <c r="AA48" i="3" s="1"/>
  <c r="U48" i="3"/>
  <c r="P41" i="3"/>
  <c r="AA41" i="3" s="1"/>
  <c r="U41" i="3"/>
  <c r="P49" i="3"/>
  <c r="AA49" i="3" s="1"/>
  <c r="U49" i="3"/>
  <c r="P42" i="3"/>
  <c r="AA42" i="3" s="1"/>
  <c r="U42" i="3"/>
  <c r="P50" i="3"/>
  <c r="AA50" i="3" s="1"/>
  <c r="U50" i="3"/>
  <c r="P43" i="3"/>
  <c r="AA43" i="3" s="1"/>
  <c r="U43" i="3"/>
  <c r="P51" i="3"/>
  <c r="AA51" i="3" s="1"/>
  <c r="U51" i="3"/>
  <c r="P44" i="3"/>
  <c r="AA44" i="3" s="1"/>
  <c r="U44" i="3"/>
  <c r="P52" i="3"/>
  <c r="AA52" i="3" s="1"/>
  <c r="U52" i="3"/>
  <c r="P45" i="3"/>
  <c r="AA45" i="3" s="1"/>
  <c r="U45" i="3"/>
  <c r="P53" i="3"/>
  <c r="AA53" i="3" s="1"/>
  <c r="U53" i="3"/>
  <c r="P46" i="3"/>
  <c r="AA46" i="3" s="1"/>
  <c r="U46" i="3"/>
  <c r="P54" i="3"/>
  <c r="AA54" i="3" s="1"/>
  <c r="U54" i="3"/>
  <c r="K21" i="16"/>
  <c r="P21" i="16" s="1"/>
  <c r="L20" i="16"/>
  <c r="N20" i="16"/>
  <c r="N22" i="16"/>
  <c r="Q22" i="16" s="1"/>
  <c r="E27" i="16"/>
  <c r="J21" i="16"/>
  <c r="O21" i="16" s="1"/>
  <c r="G27" i="16"/>
  <c r="L30" i="16" s="1"/>
  <c r="I27" i="16"/>
  <c r="N30" i="16" s="1"/>
  <c r="L22" i="16"/>
  <c r="P22" i="16" s="1"/>
  <c r="N136" i="3"/>
  <c r="N110" i="3"/>
  <c r="N86" i="3"/>
  <c r="N55" i="3"/>
  <c r="K30" i="16"/>
  <c r="K29" i="16"/>
  <c r="K31" i="16"/>
  <c r="H27" i="16"/>
  <c r="M20" i="16"/>
  <c r="M21" i="16"/>
  <c r="Q21" i="16" s="1"/>
  <c r="G34" i="31" l="1"/>
  <c r="G51" i="31" s="1"/>
  <c r="G76" i="31" s="1"/>
  <c r="G96" i="31" s="1"/>
  <c r="P96" i="31" s="1"/>
  <c r="J34" i="31"/>
  <c r="J51" i="31" s="1"/>
  <c r="J76" i="31" s="1"/>
  <c r="J96" i="31" s="1"/>
  <c r="S96" i="31" s="1"/>
  <c r="D51" i="31"/>
  <c r="D153" i="31" s="1"/>
  <c r="N172" i="5"/>
  <c r="D172" i="5"/>
  <c r="N173" i="5"/>
  <c r="D173" i="5"/>
  <c r="G33" i="31"/>
  <c r="G50" i="31" s="1"/>
  <c r="G75" i="31" s="1"/>
  <c r="G95" i="31" s="1"/>
  <c r="P95" i="31" s="1"/>
  <c r="J33" i="31"/>
  <c r="J50" i="31" s="1"/>
  <c r="J75" i="31" s="1"/>
  <c r="J95" i="31" s="1"/>
  <c r="S95" i="31" s="1"/>
  <c r="D50" i="31"/>
  <c r="D152" i="31" s="1"/>
  <c r="G37" i="31"/>
  <c r="G54" i="31" s="1"/>
  <c r="G79" i="31" s="1"/>
  <c r="G99" i="31" s="1"/>
  <c r="P99" i="31" s="1"/>
  <c r="D54" i="31"/>
  <c r="D156" i="31" s="1"/>
  <c r="J37" i="31"/>
  <c r="J54" i="31" s="1"/>
  <c r="J79" i="31" s="1"/>
  <c r="J99" i="31" s="1"/>
  <c r="S99" i="31" s="1"/>
  <c r="D176" i="5"/>
  <c r="N176" i="5"/>
  <c r="D174" i="5"/>
  <c r="N174" i="5"/>
  <c r="N175" i="5"/>
  <c r="D175" i="5"/>
  <c r="G35" i="31"/>
  <c r="G52" i="31" s="1"/>
  <c r="G77" i="31" s="1"/>
  <c r="G97" i="31" s="1"/>
  <c r="P97" i="31" s="1"/>
  <c r="D52" i="31"/>
  <c r="D154" i="31" s="1"/>
  <c r="J35" i="31"/>
  <c r="J52" i="31" s="1"/>
  <c r="J77" i="31" s="1"/>
  <c r="J97" i="31" s="1"/>
  <c r="S97" i="31" s="1"/>
  <c r="N177" i="5"/>
  <c r="D177" i="5"/>
  <c r="J36" i="31"/>
  <c r="J53" i="31" s="1"/>
  <c r="J78" i="31" s="1"/>
  <c r="J98" i="31" s="1"/>
  <c r="S98" i="31" s="1"/>
  <c r="G36" i="31"/>
  <c r="G53" i="31" s="1"/>
  <c r="G78" i="31" s="1"/>
  <c r="G98" i="31" s="1"/>
  <c r="P98" i="31" s="1"/>
  <c r="D53" i="31"/>
  <c r="D155" i="31" s="1"/>
  <c r="J38" i="31"/>
  <c r="J55" i="31" s="1"/>
  <c r="J80" i="31" s="1"/>
  <c r="J100" i="31" s="1"/>
  <c r="S100" i="31" s="1"/>
  <c r="G38" i="31"/>
  <c r="G55" i="31" s="1"/>
  <c r="G80" i="31" s="1"/>
  <c r="G100" i="31" s="1"/>
  <c r="P100" i="31" s="1"/>
  <c r="D55" i="31"/>
  <c r="D157" i="31" s="1"/>
  <c r="N170" i="5"/>
  <c r="D170" i="5"/>
  <c r="G30" i="31"/>
  <c r="G47" i="31" s="1"/>
  <c r="G72" i="31" s="1"/>
  <c r="G92" i="31" s="1"/>
  <c r="P92" i="31" s="1"/>
  <c r="D47" i="31"/>
  <c r="D149" i="31" s="1"/>
  <c r="J30" i="31"/>
  <c r="J47" i="31" s="1"/>
  <c r="J72" i="31" s="1"/>
  <c r="J92" i="31" s="1"/>
  <c r="S92" i="31" s="1"/>
  <c r="D168" i="5"/>
  <c r="N168" i="5"/>
  <c r="G31" i="31"/>
  <c r="G48" i="31" s="1"/>
  <c r="G73" i="31" s="1"/>
  <c r="G93" i="31" s="1"/>
  <c r="P93" i="31" s="1"/>
  <c r="D48" i="31"/>
  <c r="D150" i="31" s="1"/>
  <c r="J31" i="31"/>
  <c r="J48" i="31" s="1"/>
  <c r="J73" i="31" s="1"/>
  <c r="J93" i="31" s="1"/>
  <c r="S93" i="31" s="1"/>
  <c r="D46" i="31"/>
  <c r="D148" i="31" s="1"/>
  <c r="G29" i="31"/>
  <c r="G46" i="31" s="1"/>
  <c r="G71" i="31" s="1"/>
  <c r="G91" i="31" s="1"/>
  <c r="P91" i="31" s="1"/>
  <c r="J29" i="31"/>
  <c r="J46" i="31" s="1"/>
  <c r="J71" i="31" s="1"/>
  <c r="J91" i="31" s="1"/>
  <c r="S91" i="31" s="1"/>
  <c r="N169" i="5"/>
  <c r="D169" i="5"/>
  <c r="G39" i="31"/>
  <c r="G56" i="31" s="1"/>
  <c r="G81" i="31" s="1"/>
  <c r="G101" i="31" s="1"/>
  <c r="P101" i="31" s="1"/>
  <c r="D56" i="31"/>
  <c r="D158" i="31" s="1"/>
  <c r="J39" i="31"/>
  <c r="J56" i="31" s="1"/>
  <c r="J81" i="31" s="1"/>
  <c r="J101" i="31" s="1"/>
  <c r="S101" i="31" s="1"/>
  <c r="D49" i="31"/>
  <c r="D151" i="31" s="1"/>
  <c r="J32" i="31"/>
  <c r="J49" i="31" s="1"/>
  <c r="J74" i="31" s="1"/>
  <c r="J94" i="31" s="1"/>
  <c r="S94" i="31" s="1"/>
  <c r="G32" i="31"/>
  <c r="G49" i="31" s="1"/>
  <c r="G74" i="31" s="1"/>
  <c r="G94" i="31" s="1"/>
  <c r="P94" i="31" s="1"/>
  <c r="D178" i="5"/>
  <c r="N178" i="5"/>
  <c r="D171" i="5"/>
  <c r="N171" i="5"/>
  <c r="D45" i="31"/>
  <c r="D147" i="31" s="1"/>
  <c r="G28" i="31"/>
  <c r="G45" i="31" s="1"/>
  <c r="G70" i="31" s="1"/>
  <c r="G90" i="31" s="1"/>
  <c r="P90" i="31" s="1"/>
  <c r="J28" i="31"/>
  <c r="J45" i="31" s="1"/>
  <c r="J70" i="31" s="1"/>
  <c r="J90" i="31" s="1"/>
  <c r="S90" i="31" s="1"/>
  <c r="N167" i="5"/>
  <c r="D167" i="5"/>
  <c r="H102" i="31"/>
  <c r="H120" i="31" s="1"/>
  <c r="H23" i="3"/>
  <c r="P20" i="16"/>
  <c r="D32" i="23"/>
  <c r="D80" i="23" s="1"/>
  <c r="D32" i="21"/>
  <c r="D80" i="21" s="1"/>
  <c r="J42" i="23"/>
  <c r="J59" i="23" s="1"/>
  <c r="G59" i="23"/>
  <c r="G61" i="23"/>
  <c r="J44" i="23"/>
  <c r="J61" i="23" s="1"/>
  <c r="J46" i="23"/>
  <c r="J63" i="23" s="1"/>
  <c r="G63" i="23"/>
  <c r="G62" i="23"/>
  <c r="J45" i="23"/>
  <c r="J62" i="23" s="1"/>
  <c r="J47" i="23"/>
  <c r="J64" i="23" s="1"/>
  <c r="G64" i="23"/>
  <c r="G65" i="23"/>
  <c r="J48" i="23"/>
  <c r="J65" i="23" s="1"/>
  <c r="J38" i="23"/>
  <c r="J55" i="23" s="1"/>
  <c r="G55" i="23"/>
  <c r="J37" i="23"/>
  <c r="J54" i="23" s="1"/>
  <c r="G54" i="23"/>
  <c r="G58" i="23"/>
  <c r="J41" i="23"/>
  <c r="J58" i="23" s="1"/>
  <c r="J43" i="23"/>
  <c r="J60" i="23" s="1"/>
  <c r="G60" i="23"/>
  <c r="J39" i="23"/>
  <c r="J56" i="23" s="1"/>
  <c r="G56" i="23"/>
  <c r="G57" i="23"/>
  <c r="J40" i="23"/>
  <c r="J57" i="23" s="1"/>
  <c r="H111" i="31"/>
  <c r="G40" i="21"/>
  <c r="J40" i="21" s="1"/>
  <c r="J57" i="21" s="1"/>
  <c r="G46" i="21"/>
  <c r="J46" i="21" s="1"/>
  <c r="J63" i="21" s="1"/>
  <c r="G43" i="21"/>
  <c r="J43" i="21" s="1"/>
  <c r="J60" i="21" s="1"/>
  <c r="G47" i="21"/>
  <c r="J47" i="21" s="1"/>
  <c r="J64" i="21" s="1"/>
  <c r="G41" i="21"/>
  <c r="J41" i="21" s="1"/>
  <c r="J58" i="21" s="1"/>
  <c r="G37" i="21"/>
  <c r="G48" i="21"/>
  <c r="J48" i="21" s="1"/>
  <c r="J65" i="21" s="1"/>
  <c r="G44" i="21"/>
  <c r="J44" i="21" s="1"/>
  <c r="J61" i="21" s="1"/>
  <c r="G38" i="21"/>
  <c r="G42" i="21"/>
  <c r="J42" i="21" s="1"/>
  <c r="J59" i="21" s="1"/>
  <c r="G39" i="21"/>
  <c r="G45" i="21"/>
  <c r="J45" i="21" s="1"/>
  <c r="J62" i="21" s="1"/>
  <c r="E140" i="31"/>
  <c r="E142" i="31" s="1"/>
  <c r="K159" i="31" s="1"/>
  <c r="G45" i="5"/>
  <c r="G62" i="5" s="1"/>
  <c r="G87" i="5" s="1"/>
  <c r="G107" i="5" s="1"/>
  <c r="P107" i="5" s="1"/>
  <c r="G42" i="5"/>
  <c r="G59" i="5" s="1"/>
  <c r="G84" i="5" s="1"/>
  <c r="G104" i="5" s="1"/>
  <c r="P104" i="5" s="1"/>
  <c r="G46" i="5"/>
  <c r="G63" i="5" s="1"/>
  <c r="G88" i="5" s="1"/>
  <c r="G108" i="5" s="1"/>
  <c r="P108" i="5" s="1"/>
  <c r="G43" i="5"/>
  <c r="G60" i="5" s="1"/>
  <c r="G85" i="5" s="1"/>
  <c r="G105" i="5" s="1"/>
  <c r="P105" i="5" s="1"/>
  <c r="G48" i="5"/>
  <c r="G65" i="5" s="1"/>
  <c r="G90" i="5" s="1"/>
  <c r="G110" i="5" s="1"/>
  <c r="P110" i="5" s="1"/>
  <c r="H115" i="5"/>
  <c r="H111" i="5"/>
  <c r="H124" i="5" s="1"/>
  <c r="G47" i="5"/>
  <c r="G64" i="5" s="1"/>
  <c r="G89" i="5" s="1"/>
  <c r="G109" i="5" s="1"/>
  <c r="P109" i="5" s="1"/>
  <c r="G44" i="5"/>
  <c r="G61" i="5" s="1"/>
  <c r="G86" i="5" s="1"/>
  <c r="G106" i="5" s="1"/>
  <c r="P106" i="5" s="1"/>
  <c r="G41" i="5"/>
  <c r="G58" i="5" s="1"/>
  <c r="G83" i="5" s="1"/>
  <c r="G103" i="5" s="1"/>
  <c r="P103" i="5" s="1"/>
  <c r="G40" i="5"/>
  <c r="G57" i="5" s="1"/>
  <c r="G82" i="5" s="1"/>
  <c r="G102" i="5" s="1"/>
  <c r="P102" i="5" s="1"/>
  <c r="D32" i="5"/>
  <c r="H179" i="5" s="1"/>
  <c r="D195" i="5" s="1"/>
  <c r="D213" i="5" s="1"/>
  <c r="B422" i="30"/>
  <c r="A422" i="30"/>
  <c r="C422" i="30"/>
  <c r="G40" i="18"/>
  <c r="G57" i="18" s="1"/>
  <c r="G43" i="18"/>
  <c r="G60" i="18" s="1"/>
  <c r="G41" i="18"/>
  <c r="G58" i="18" s="1"/>
  <c r="G46" i="18"/>
  <c r="G63" i="18" s="1"/>
  <c r="G44" i="18"/>
  <c r="G61" i="18" s="1"/>
  <c r="G48" i="18"/>
  <c r="G65" i="18" s="1"/>
  <c r="G45" i="18"/>
  <c r="G62" i="18" s="1"/>
  <c r="G36" i="24"/>
  <c r="G33" i="24"/>
  <c r="G35" i="24"/>
  <c r="G30" i="24"/>
  <c r="G32" i="24"/>
  <c r="G29" i="24"/>
  <c r="G38" i="24"/>
  <c r="G34" i="24"/>
  <c r="G31" i="24"/>
  <c r="G28" i="24"/>
  <c r="G27" i="24"/>
  <c r="G37" i="24"/>
  <c r="J43" i="18"/>
  <c r="J60" i="18" s="1"/>
  <c r="D60" i="18"/>
  <c r="D65" i="18"/>
  <c r="J48" i="18"/>
  <c r="J65" i="18" s="1"/>
  <c r="D59" i="18"/>
  <c r="J42" i="18"/>
  <c r="J59" i="18" s="1"/>
  <c r="D64" i="18"/>
  <c r="J47" i="18"/>
  <c r="J64" i="18" s="1"/>
  <c r="J45" i="18"/>
  <c r="J62" i="18" s="1"/>
  <c r="D62" i="18"/>
  <c r="D63" i="18"/>
  <c r="J46" i="18"/>
  <c r="J63" i="18" s="1"/>
  <c r="J40" i="18"/>
  <c r="J57" i="18" s="1"/>
  <c r="D57" i="18"/>
  <c r="J44" i="18"/>
  <c r="J61" i="18" s="1"/>
  <c r="D61" i="18"/>
  <c r="J37" i="18"/>
  <c r="J54" i="18" s="1"/>
  <c r="D54" i="18"/>
  <c r="D56" i="18"/>
  <c r="J39" i="18"/>
  <c r="J56" i="18" s="1"/>
  <c r="J41" i="18"/>
  <c r="J58" i="18" s="1"/>
  <c r="D58" i="18"/>
  <c r="D55" i="18"/>
  <c r="J38" i="18"/>
  <c r="J55" i="18" s="1"/>
  <c r="D32" i="18"/>
  <c r="D80" i="18" s="1"/>
  <c r="P30" i="16"/>
  <c r="Q20" i="16"/>
  <c r="R22" i="16"/>
  <c r="X31" i="16" s="1"/>
  <c r="R21" i="16"/>
  <c r="X30" i="16" s="1"/>
  <c r="N31" i="16"/>
  <c r="L29" i="16"/>
  <c r="P29" i="16" s="1"/>
  <c r="L31" i="16"/>
  <c r="P31" i="16" s="1"/>
  <c r="N29" i="16"/>
  <c r="J30" i="16"/>
  <c r="O30" i="16" s="1"/>
  <c r="J29" i="16"/>
  <c r="O29" i="16" s="1"/>
  <c r="J31" i="16"/>
  <c r="O31" i="16" s="1"/>
  <c r="M29" i="16"/>
  <c r="M31" i="16"/>
  <c r="M30" i="16"/>
  <c r="Q30" i="16" s="1"/>
  <c r="Y30" i="16" s="1"/>
  <c r="R20" i="16" l="1"/>
  <c r="P129" i="31"/>
  <c r="P133" i="5"/>
  <c r="N174" i="31"/>
  <c r="D174" i="31"/>
  <c r="D165" i="31"/>
  <c r="N165" i="31"/>
  <c r="D168" i="31"/>
  <c r="N168" i="31"/>
  <c r="D170" i="31"/>
  <c r="N170" i="31"/>
  <c r="D163" i="31"/>
  <c r="N163" i="31"/>
  <c r="D173" i="31"/>
  <c r="N173" i="31"/>
  <c r="D172" i="31"/>
  <c r="N172" i="31"/>
  <c r="N164" i="31"/>
  <c r="D164" i="31"/>
  <c r="N166" i="31"/>
  <c r="D166" i="31"/>
  <c r="N171" i="31"/>
  <c r="D171" i="31"/>
  <c r="N169" i="31"/>
  <c r="D169" i="31"/>
  <c r="N167" i="31"/>
  <c r="D167" i="31"/>
  <c r="G60" i="21"/>
  <c r="X29" i="16"/>
  <c r="G63" i="21"/>
  <c r="G65" i="21"/>
  <c r="G57" i="21"/>
  <c r="G58" i="21"/>
  <c r="D185" i="31"/>
  <c r="D220" i="31" s="1"/>
  <c r="K113" i="31"/>
  <c r="H115" i="31"/>
  <c r="H117" i="31" s="1"/>
  <c r="D15" i="24"/>
  <c r="D21" i="21"/>
  <c r="D21" i="23"/>
  <c r="E146" i="5"/>
  <c r="K163" i="5" s="1"/>
  <c r="D189" i="5" s="1"/>
  <c r="D224" i="5" s="1"/>
  <c r="G62" i="21"/>
  <c r="J39" i="21"/>
  <c r="J56" i="21" s="1"/>
  <c r="G56" i="21"/>
  <c r="G61" i="21"/>
  <c r="J37" i="21"/>
  <c r="J54" i="21" s="1"/>
  <c r="G54" i="21"/>
  <c r="J38" i="21"/>
  <c r="J55" i="21" s="1"/>
  <c r="G55" i="21"/>
  <c r="G64" i="21"/>
  <c r="G59" i="21"/>
  <c r="H119" i="5"/>
  <c r="H121" i="5" s="1"/>
  <c r="K117" i="5"/>
  <c r="D21" i="18"/>
  <c r="D21" i="5"/>
  <c r="J33" i="24"/>
  <c r="J50" i="24" s="1"/>
  <c r="G50" i="24"/>
  <c r="G45" i="24"/>
  <c r="J28" i="24"/>
  <c r="J45" i="24" s="1"/>
  <c r="J34" i="24"/>
  <c r="J51" i="24" s="1"/>
  <c r="G51" i="24"/>
  <c r="G46" i="24"/>
  <c r="J29" i="24"/>
  <c r="J46" i="24" s="1"/>
  <c r="G47" i="24"/>
  <c r="J30" i="24"/>
  <c r="J47" i="24" s="1"/>
  <c r="G52" i="24"/>
  <c r="J35" i="24"/>
  <c r="J52" i="24" s="1"/>
  <c r="G53" i="24"/>
  <c r="J36" i="24"/>
  <c r="J53" i="24" s="1"/>
  <c r="G54" i="24"/>
  <c r="J37" i="24"/>
  <c r="J54" i="24" s="1"/>
  <c r="G49" i="24"/>
  <c r="J32" i="24"/>
  <c r="J49" i="24" s="1"/>
  <c r="G44" i="24"/>
  <c r="J27" i="24"/>
  <c r="J44" i="24" s="1"/>
  <c r="G55" i="24"/>
  <c r="J38" i="24"/>
  <c r="J55" i="24" s="1"/>
  <c r="G48" i="24"/>
  <c r="J31" i="24"/>
  <c r="J48" i="24" s="1"/>
  <c r="Q31" i="16"/>
  <c r="R30" i="16"/>
  <c r="Q29" i="16"/>
  <c r="H119" i="31" l="1"/>
  <c r="H121" i="31" s="1"/>
  <c r="K114" i="31" s="1"/>
  <c r="H123" i="5"/>
  <c r="H125" i="5" s="1"/>
  <c r="K118" i="5" s="1"/>
  <c r="R29" i="16"/>
  <c r="Y29" i="16"/>
  <c r="R31" i="16"/>
  <c r="Y31" i="16"/>
  <c r="M364" i="15"/>
  <c r="M362" i="15"/>
  <c r="M361" i="15"/>
  <c r="M360" i="15"/>
  <c r="O359" i="15"/>
  <c r="N359" i="15"/>
  <c r="T359" i="15" s="1"/>
  <c r="M359" i="15"/>
  <c r="M357" i="15"/>
  <c r="M356" i="15"/>
  <c r="M355" i="15"/>
  <c r="V354" i="15"/>
  <c r="O354" i="15"/>
  <c r="N354" i="15"/>
  <c r="T354" i="15" s="1"/>
  <c r="M354" i="15"/>
  <c r="M352" i="15"/>
  <c r="M351" i="15"/>
  <c r="M350" i="15"/>
  <c r="O349" i="15"/>
  <c r="N349" i="15"/>
  <c r="M349" i="15"/>
  <c r="M347" i="15"/>
  <c r="N344" i="15"/>
  <c r="M346" i="15"/>
  <c r="M345" i="15"/>
  <c r="O344" i="15"/>
  <c r="M344" i="15"/>
  <c r="M343" i="15"/>
  <c r="M342" i="15"/>
  <c r="N340" i="15" s="1"/>
  <c r="M341" i="15"/>
  <c r="O340" i="15"/>
  <c r="M340" i="15"/>
  <c r="M337" i="15"/>
  <c r="M336" i="15"/>
  <c r="M335" i="15"/>
  <c r="O334" i="15"/>
  <c r="N334" i="15"/>
  <c r="M334" i="15"/>
  <c r="M332" i="15"/>
  <c r="M331" i="15"/>
  <c r="M330" i="15"/>
  <c r="O329" i="15"/>
  <c r="N329" i="15"/>
  <c r="T329" i="15" s="1"/>
  <c r="M329" i="15"/>
  <c r="Q329" i="15" s="1"/>
  <c r="M327" i="15"/>
  <c r="M326" i="15"/>
  <c r="M325" i="15"/>
  <c r="N324" i="15"/>
  <c r="M322" i="15"/>
  <c r="M321" i="15"/>
  <c r="M320" i="15"/>
  <c r="N319" i="15"/>
  <c r="T319" i="15" s="1"/>
  <c r="M319" i="15"/>
  <c r="M318" i="15"/>
  <c r="M317" i="15"/>
  <c r="M316" i="15"/>
  <c r="O315" i="15"/>
  <c r="N315" i="15"/>
  <c r="M315" i="15"/>
  <c r="M314" i="15"/>
  <c r="M313" i="15"/>
  <c r="M312" i="15"/>
  <c r="O311" i="15"/>
  <c r="N311" i="15"/>
  <c r="T311" i="15" s="1"/>
  <c r="M311" i="15"/>
  <c r="M309" i="15"/>
  <c r="M308" i="15"/>
  <c r="M307" i="15"/>
  <c r="V306" i="15"/>
  <c r="O306" i="15"/>
  <c r="N306" i="15"/>
  <c r="M306" i="15"/>
  <c r="M304" i="15"/>
  <c r="M303" i="15"/>
  <c r="M302" i="15"/>
  <c r="O301" i="15"/>
  <c r="N301" i="15"/>
  <c r="T301" i="15" s="1"/>
  <c r="M301" i="15"/>
  <c r="M299" i="15"/>
  <c r="M298" i="15"/>
  <c r="M297" i="15"/>
  <c r="O296" i="15"/>
  <c r="N296" i="15"/>
  <c r="M296" i="15"/>
  <c r="M294" i="15"/>
  <c r="M293" i="15"/>
  <c r="M292" i="15"/>
  <c r="O291" i="15"/>
  <c r="N291" i="15"/>
  <c r="T291" i="15" s="1"/>
  <c r="M291" i="15"/>
  <c r="M290" i="15"/>
  <c r="M289" i="15"/>
  <c r="M288" i="15"/>
  <c r="O287" i="15"/>
  <c r="N287" i="15"/>
  <c r="M287" i="15"/>
  <c r="M286" i="15"/>
  <c r="M285" i="15"/>
  <c r="M284" i="15"/>
  <c r="O283" i="15"/>
  <c r="N283" i="15"/>
  <c r="T283" i="15" s="1"/>
  <c r="M283" i="15"/>
  <c r="M282" i="15"/>
  <c r="M281" i="15"/>
  <c r="M280" i="15"/>
  <c r="O279" i="15"/>
  <c r="N279" i="15"/>
  <c r="M279" i="15"/>
  <c r="M278" i="15"/>
  <c r="N275" i="15"/>
  <c r="M277" i="15"/>
  <c r="M276" i="15"/>
  <c r="V275" i="15"/>
  <c r="O275" i="15"/>
  <c r="M275" i="15"/>
  <c r="M274" i="15"/>
  <c r="M273" i="15"/>
  <c r="N271" i="15" s="1"/>
  <c r="M272" i="15"/>
  <c r="O271" i="15"/>
  <c r="M271" i="15"/>
  <c r="M270" i="15"/>
  <c r="M269" i="15"/>
  <c r="M268" i="15"/>
  <c r="O267" i="15"/>
  <c r="N267" i="15"/>
  <c r="M267" i="15"/>
  <c r="M266" i="15"/>
  <c r="M265" i="15"/>
  <c r="M264" i="15"/>
  <c r="O263" i="15"/>
  <c r="N263" i="15"/>
  <c r="T263" i="15" s="1"/>
  <c r="M263" i="15"/>
  <c r="M261" i="15"/>
  <c r="M260" i="15"/>
  <c r="M259" i="15"/>
  <c r="V258" i="15"/>
  <c r="O258" i="15"/>
  <c r="N258" i="15"/>
  <c r="M258" i="15"/>
  <c r="M256" i="15"/>
  <c r="M255" i="15"/>
  <c r="M254" i="15"/>
  <c r="O253" i="15"/>
  <c r="N253" i="15"/>
  <c r="T253" i="15" s="1"/>
  <c r="M253" i="15"/>
  <c r="M251" i="15"/>
  <c r="M250" i="15"/>
  <c r="M249" i="15"/>
  <c r="O248" i="15"/>
  <c r="N248" i="15"/>
  <c r="M248" i="15"/>
  <c r="M246" i="15"/>
  <c r="M245" i="15"/>
  <c r="N243" i="15" s="1"/>
  <c r="M244" i="15"/>
  <c r="V243" i="15"/>
  <c r="O243" i="15"/>
  <c r="M243" i="15"/>
  <c r="M242" i="15"/>
  <c r="M241" i="15"/>
  <c r="M240" i="15"/>
  <c r="O239" i="15"/>
  <c r="N239" i="15"/>
  <c r="M239" i="15"/>
  <c r="M238" i="15"/>
  <c r="M237" i="15"/>
  <c r="M236" i="15"/>
  <c r="V235" i="15"/>
  <c r="O235" i="15"/>
  <c r="N235" i="15"/>
  <c r="T235" i="15" s="1"/>
  <c r="M235" i="15"/>
  <c r="M234" i="15"/>
  <c r="M233" i="15"/>
  <c r="N231" i="15" s="1"/>
  <c r="M232" i="15"/>
  <c r="O231" i="15"/>
  <c r="M231" i="15"/>
  <c r="M230" i="15"/>
  <c r="M229" i="15"/>
  <c r="M228" i="15"/>
  <c r="O227" i="15"/>
  <c r="N227" i="15"/>
  <c r="T227" i="15" s="1"/>
  <c r="M227" i="15"/>
  <c r="M226" i="15"/>
  <c r="M225" i="15"/>
  <c r="M224" i="15"/>
  <c r="O223" i="15"/>
  <c r="N223" i="15"/>
  <c r="T223" i="15" s="1"/>
  <c r="M223" i="15"/>
  <c r="M222" i="15"/>
  <c r="M221" i="15"/>
  <c r="N219" i="15" s="1"/>
  <c r="M220" i="15"/>
  <c r="O219" i="15"/>
  <c r="M219" i="15"/>
  <c r="M218" i="15"/>
  <c r="M217" i="15"/>
  <c r="M216" i="15"/>
  <c r="V215" i="15"/>
  <c r="O215" i="15"/>
  <c r="N215" i="15"/>
  <c r="T215" i="15" s="1"/>
  <c r="M215" i="15"/>
  <c r="M214" i="15"/>
  <c r="M213" i="15"/>
  <c r="M212" i="15"/>
  <c r="O211" i="15"/>
  <c r="N211" i="15"/>
  <c r="M211" i="15"/>
  <c r="M210" i="15"/>
  <c r="M209" i="15"/>
  <c r="N207" i="15" s="1"/>
  <c r="M208" i="15"/>
  <c r="V207" i="15"/>
  <c r="O207" i="15"/>
  <c r="M207" i="15"/>
  <c r="M206" i="15"/>
  <c r="M205" i="15"/>
  <c r="N205" i="15" s="1"/>
  <c r="N203" i="15" s="1"/>
  <c r="M204" i="15"/>
  <c r="O203" i="15"/>
  <c r="M203" i="15"/>
  <c r="M202" i="15"/>
  <c r="M201" i="15"/>
  <c r="N201" i="15" s="1"/>
  <c r="N199" i="15" s="1"/>
  <c r="M200" i="15"/>
  <c r="O199" i="15"/>
  <c r="M198" i="15"/>
  <c r="M197" i="15"/>
  <c r="M196" i="15"/>
  <c r="V195" i="15"/>
  <c r="O195" i="15"/>
  <c r="N195" i="15"/>
  <c r="T195" i="15" s="1"/>
  <c r="M195" i="15"/>
  <c r="M194" i="15"/>
  <c r="M193" i="15"/>
  <c r="M192" i="15"/>
  <c r="O191" i="15"/>
  <c r="N191" i="15"/>
  <c r="M191" i="15"/>
  <c r="M190" i="15"/>
  <c r="M189" i="15"/>
  <c r="M188" i="15"/>
  <c r="V187" i="15"/>
  <c r="O187" i="15"/>
  <c r="N187" i="15"/>
  <c r="T187" i="15" s="1"/>
  <c r="M187" i="15"/>
  <c r="M186" i="15"/>
  <c r="M185" i="15"/>
  <c r="M184" i="15"/>
  <c r="O183" i="15"/>
  <c r="N183" i="15"/>
  <c r="M183" i="15"/>
  <c r="M182" i="15"/>
  <c r="M179" i="15"/>
  <c r="M180" i="15"/>
  <c r="O179" i="15"/>
  <c r="M178" i="15"/>
  <c r="M177" i="15"/>
  <c r="M176" i="15"/>
  <c r="O175" i="15"/>
  <c r="N175" i="15"/>
  <c r="T175" i="15" s="1"/>
  <c r="M175" i="15"/>
  <c r="M173" i="15"/>
  <c r="M172" i="15"/>
  <c r="M171" i="15"/>
  <c r="V170" i="15"/>
  <c r="O170" i="15"/>
  <c r="N170" i="15"/>
  <c r="T170" i="15" s="1"/>
  <c r="M170" i="15"/>
  <c r="M168" i="15"/>
  <c r="M167" i="15"/>
  <c r="M166" i="15"/>
  <c r="O165" i="15"/>
  <c r="N165" i="15"/>
  <c r="T165" i="15" s="1"/>
  <c r="M165" i="15"/>
  <c r="M163" i="15"/>
  <c r="M162" i="15"/>
  <c r="M161" i="15"/>
  <c r="O160" i="15"/>
  <c r="N160" i="15"/>
  <c r="M160" i="15"/>
  <c r="M158" i="15"/>
  <c r="R155" i="15" s="1"/>
  <c r="M157" i="15"/>
  <c r="M156" i="15"/>
  <c r="V155" i="15"/>
  <c r="O155" i="15"/>
  <c r="N155" i="15"/>
  <c r="M155" i="15"/>
  <c r="M154" i="15"/>
  <c r="M153" i="15"/>
  <c r="M152" i="15"/>
  <c r="O151" i="15"/>
  <c r="N151" i="15"/>
  <c r="M151" i="15"/>
  <c r="M150" i="15"/>
  <c r="M149" i="15"/>
  <c r="M148" i="15"/>
  <c r="V147" i="15"/>
  <c r="O147" i="15"/>
  <c r="N147" i="15"/>
  <c r="T147" i="15" s="1"/>
  <c r="M147" i="15"/>
  <c r="M146" i="15"/>
  <c r="N143" i="15"/>
  <c r="M145" i="15"/>
  <c r="M144" i="15"/>
  <c r="O143" i="15"/>
  <c r="M143" i="15"/>
  <c r="M142" i="15"/>
  <c r="M141" i="15"/>
  <c r="M140" i="15"/>
  <c r="V139" i="15"/>
  <c r="O139" i="15"/>
  <c r="N139" i="15"/>
  <c r="T139" i="15" s="1"/>
  <c r="M139" i="15"/>
  <c r="M138" i="15"/>
  <c r="M137" i="15"/>
  <c r="M136" i="15"/>
  <c r="O135" i="15"/>
  <c r="N135" i="15"/>
  <c r="M135" i="15"/>
  <c r="M134" i="15"/>
  <c r="M133" i="15"/>
  <c r="N131" i="15" s="1"/>
  <c r="M132" i="15"/>
  <c r="O131" i="15"/>
  <c r="M131" i="15"/>
  <c r="M130" i="15"/>
  <c r="M129" i="15"/>
  <c r="M128" i="15"/>
  <c r="O127" i="15"/>
  <c r="N127" i="15"/>
  <c r="T127" i="15" s="1"/>
  <c r="M127" i="15"/>
  <c r="M126" i="15"/>
  <c r="M125" i="15"/>
  <c r="M124" i="15"/>
  <c r="O123" i="15"/>
  <c r="N123" i="15"/>
  <c r="T123" i="15" s="1"/>
  <c r="M123" i="15"/>
  <c r="N119" i="15"/>
  <c r="M122" i="15"/>
  <c r="M121" i="15"/>
  <c r="M120" i="15"/>
  <c r="V119" i="15"/>
  <c r="O119" i="15"/>
  <c r="M119" i="15"/>
  <c r="M118" i="15"/>
  <c r="M117" i="15"/>
  <c r="N115" i="15" s="1"/>
  <c r="M115" i="15"/>
  <c r="M116" i="15"/>
  <c r="O115" i="15"/>
  <c r="M114" i="15"/>
  <c r="M113" i="15"/>
  <c r="M112" i="15"/>
  <c r="V111" i="15"/>
  <c r="O111" i="15"/>
  <c r="N111" i="15"/>
  <c r="T111" i="15" s="1"/>
  <c r="M111" i="15"/>
  <c r="M110" i="15"/>
  <c r="M109" i="15"/>
  <c r="M108" i="15"/>
  <c r="O107" i="15"/>
  <c r="N107" i="15"/>
  <c r="M107" i="15"/>
  <c r="M106" i="15"/>
  <c r="M105" i="15"/>
  <c r="M104" i="15"/>
  <c r="V103" i="15"/>
  <c r="O103" i="15"/>
  <c r="N103" i="15"/>
  <c r="T103" i="15" s="1"/>
  <c r="M103" i="15"/>
  <c r="M102" i="15"/>
  <c r="N99" i="15" s="1"/>
  <c r="M101" i="15"/>
  <c r="M100" i="15"/>
  <c r="O99" i="15"/>
  <c r="M99" i="15"/>
  <c r="M98" i="15"/>
  <c r="N95" i="15" s="1"/>
  <c r="M97" i="15"/>
  <c r="M96" i="15"/>
  <c r="O95" i="15"/>
  <c r="M95" i="15"/>
  <c r="M94" i="15"/>
  <c r="M93" i="15"/>
  <c r="M92" i="15"/>
  <c r="O91" i="15"/>
  <c r="M91" i="15"/>
  <c r="M90" i="15"/>
  <c r="N87" i="15" s="1"/>
  <c r="M89" i="15"/>
  <c r="M88" i="15"/>
  <c r="O87" i="15"/>
  <c r="M87" i="15"/>
  <c r="M85" i="15"/>
  <c r="M84" i="15"/>
  <c r="M83" i="15"/>
  <c r="O82" i="15"/>
  <c r="N82" i="15"/>
  <c r="T82" i="15" s="1"/>
  <c r="M82" i="15"/>
  <c r="M80" i="15"/>
  <c r="M79" i="15"/>
  <c r="M78" i="15"/>
  <c r="V77" i="15"/>
  <c r="O77" i="15"/>
  <c r="N77" i="15"/>
  <c r="T77" i="15" s="1"/>
  <c r="M77" i="15"/>
  <c r="M75" i="15"/>
  <c r="M74" i="15"/>
  <c r="M73" i="15"/>
  <c r="O72" i="15"/>
  <c r="N72" i="15"/>
  <c r="M72" i="15"/>
  <c r="M70" i="15"/>
  <c r="N67" i="15"/>
  <c r="M69" i="15"/>
  <c r="M68" i="15"/>
  <c r="V67" i="15"/>
  <c r="O67" i="15"/>
  <c r="M67" i="15"/>
  <c r="M66" i="15"/>
  <c r="N63" i="15"/>
  <c r="M65" i="15"/>
  <c r="M64" i="15"/>
  <c r="O63" i="15"/>
  <c r="M63" i="15"/>
  <c r="M62" i="15"/>
  <c r="M61" i="15"/>
  <c r="N59" i="15" s="1"/>
  <c r="M60" i="15"/>
  <c r="O59" i="15"/>
  <c r="M59" i="15"/>
  <c r="M58" i="15"/>
  <c r="M57" i="15"/>
  <c r="M56" i="15"/>
  <c r="V55" i="15"/>
  <c r="O55" i="15"/>
  <c r="M55" i="15"/>
  <c r="M54" i="15"/>
  <c r="M53" i="15"/>
  <c r="N51" i="15" s="1"/>
  <c r="M52" i="15"/>
  <c r="O51" i="15"/>
  <c r="M51" i="15"/>
  <c r="M50" i="15"/>
  <c r="M49" i="15"/>
  <c r="M48" i="15"/>
  <c r="V47" i="15"/>
  <c r="O47" i="15"/>
  <c r="N47" i="15"/>
  <c r="T47" i="15" s="1"/>
  <c r="M47" i="15"/>
  <c r="M46" i="15"/>
  <c r="M45" i="15"/>
  <c r="M44" i="15"/>
  <c r="O43" i="15"/>
  <c r="M43" i="15"/>
  <c r="M42" i="15"/>
  <c r="M41" i="15"/>
  <c r="M40" i="15"/>
  <c r="V39" i="15"/>
  <c r="O39" i="15"/>
  <c r="N39" i="15"/>
  <c r="T39" i="15" s="1"/>
  <c r="M39" i="15"/>
  <c r="M38" i="15"/>
  <c r="M37" i="15"/>
  <c r="M36" i="15"/>
  <c r="O35" i="15"/>
  <c r="N35" i="15"/>
  <c r="M35" i="15"/>
  <c r="M34" i="15"/>
  <c r="M33" i="15"/>
  <c r="N31" i="15" s="1"/>
  <c r="M32" i="15"/>
  <c r="O31" i="15"/>
  <c r="M31" i="15"/>
  <c r="M30" i="15"/>
  <c r="M29" i="15"/>
  <c r="M28" i="15"/>
  <c r="O27" i="15"/>
  <c r="N27" i="15"/>
  <c r="T27" i="15" s="1"/>
  <c r="M27" i="15"/>
  <c r="M26" i="15"/>
  <c r="M25" i="15"/>
  <c r="M24" i="15"/>
  <c r="O23" i="15"/>
  <c r="N23" i="15"/>
  <c r="T23" i="15" s="1"/>
  <c r="M23" i="15"/>
  <c r="M22" i="15"/>
  <c r="M21" i="15"/>
  <c r="M20" i="15"/>
  <c r="O19" i="15"/>
  <c r="N19" i="15"/>
  <c r="T19" i="15" s="1"/>
  <c r="M16" i="15"/>
  <c r="M17" i="15"/>
  <c r="O16" i="15"/>
  <c r="V344" i="15"/>
  <c r="R43" i="3"/>
  <c r="K93" i="31" s="1"/>
  <c r="A3" i="3"/>
  <c r="P130" i="31" l="1"/>
  <c r="P134" i="5"/>
  <c r="P128" i="31"/>
  <c r="E129" i="31" s="1"/>
  <c r="E130" i="31" s="1"/>
  <c r="I159" i="31" s="1"/>
  <c r="D183" i="31" s="1"/>
  <c r="D218" i="31" s="1"/>
  <c r="P132" i="5"/>
  <c r="W77" i="15"/>
  <c r="R291" i="15"/>
  <c r="R340" i="15"/>
  <c r="Q165" i="15"/>
  <c r="R119" i="15"/>
  <c r="Q23" i="15"/>
  <c r="W155" i="15"/>
  <c r="Q359" i="15"/>
  <c r="Q187" i="15"/>
  <c r="R263" i="15"/>
  <c r="Q215" i="15"/>
  <c r="R82" i="15"/>
  <c r="Q301" i="15"/>
  <c r="R67" i="15"/>
  <c r="W103" i="15"/>
  <c r="Q127" i="15"/>
  <c r="R165" i="15"/>
  <c r="R77" i="15"/>
  <c r="Q131" i="15"/>
  <c r="Q147" i="15"/>
  <c r="Q77" i="15"/>
  <c r="R170" i="15"/>
  <c r="Q223" i="15"/>
  <c r="Q334" i="15"/>
  <c r="R344" i="15"/>
  <c r="R296" i="15"/>
  <c r="W354" i="15"/>
  <c r="O339" i="15"/>
  <c r="O338" i="15" s="1"/>
  <c r="R283" i="15"/>
  <c r="W39" i="15"/>
  <c r="Q170" i="15"/>
  <c r="W235" i="15"/>
  <c r="W47" i="15"/>
  <c r="Q123" i="15"/>
  <c r="R151" i="15"/>
  <c r="R235" i="15"/>
  <c r="R253" i="15"/>
  <c r="Q107" i="15"/>
  <c r="Q175" i="15"/>
  <c r="R215" i="15"/>
  <c r="R175" i="15"/>
  <c r="R248" i="15"/>
  <c r="R306" i="15"/>
  <c r="R59" i="15"/>
  <c r="W147" i="15"/>
  <c r="Q227" i="15"/>
  <c r="Q253" i="15"/>
  <c r="R275" i="15"/>
  <c r="Q311" i="15"/>
  <c r="Q319" i="15"/>
  <c r="Q111" i="15"/>
  <c r="Q155" i="15"/>
  <c r="R139" i="15"/>
  <c r="R301" i="15"/>
  <c r="R160" i="15"/>
  <c r="Q39" i="15"/>
  <c r="Q47" i="15"/>
  <c r="W195" i="15"/>
  <c r="Q263" i="15"/>
  <c r="M262" i="15"/>
  <c r="R311" i="15"/>
  <c r="W111" i="15"/>
  <c r="T155" i="15"/>
  <c r="Q82" i="15"/>
  <c r="R195" i="15"/>
  <c r="R143" i="15"/>
  <c r="W258" i="15"/>
  <c r="Q296" i="15"/>
  <c r="R39" i="15"/>
  <c r="R72" i="15"/>
  <c r="R127" i="15"/>
  <c r="Q59" i="15"/>
  <c r="R99" i="15"/>
  <c r="R147" i="15"/>
  <c r="R191" i="15"/>
  <c r="R324" i="15"/>
  <c r="Q239" i="15"/>
  <c r="R51" i="15"/>
  <c r="Q103" i="15"/>
  <c r="Q195" i="15"/>
  <c r="Q211" i="15"/>
  <c r="R223" i="15"/>
  <c r="Q258" i="15"/>
  <c r="R27" i="15"/>
  <c r="R91" i="15"/>
  <c r="Q139" i="15"/>
  <c r="Q235" i="15"/>
  <c r="T258" i="15"/>
  <c r="R279" i="15"/>
  <c r="R334" i="15"/>
  <c r="W187" i="15"/>
  <c r="W306" i="15"/>
  <c r="O86" i="15"/>
  <c r="R131" i="15"/>
  <c r="R187" i="15"/>
  <c r="Q267" i="15"/>
  <c r="Q283" i="15"/>
  <c r="Q306" i="15"/>
  <c r="R103" i="15"/>
  <c r="W139" i="15"/>
  <c r="R258" i="15"/>
  <c r="T306" i="15"/>
  <c r="Q315" i="15"/>
  <c r="R319" i="15"/>
  <c r="W170" i="15"/>
  <c r="N310" i="15"/>
  <c r="R55" i="15"/>
  <c r="R63" i="15"/>
  <c r="Q160" i="15"/>
  <c r="R183" i="15"/>
  <c r="R329" i="15"/>
  <c r="M339" i="15"/>
  <c r="M338" i="15" s="1"/>
  <c r="R359" i="15"/>
  <c r="Q19" i="15"/>
  <c r="Q291" i="15"/>
  <c r="R315" i="15"/>
  <c r="H123" i="31"/>
  <c r="R47" i="15"/>
  <c r="Q31" i="15"/>
  <c r="R19" i="15"/>
  <c r="R31" i="15"/>
  <c r="O15" i="15"/>
  <c r="Q27" i="15"/>
  <c r="H127" i="5"/>
  <c r="E121" i="31"/>
  <c r="E123" i="31" s="1"/>
  <c r="E125" i="5"/>
  <c r="E127" i="5" s="1"/>
  <c r="R287" i="15"/>
  <c r="M310" i="15"/>
  <c r="N262" i="15"/>
  <c r="R267" i="15"/>
  <c r="R271" i="15"/>
  <c r="Q275" i="15"/>
  <c r="R349" i="15"/>
  <c r="R354" i="15"/>
  <c r="Q191" i="15"/>
  <c r="R203" i="15"/>
  <c r="R239" i="15"/>
  <c r="R219" i="15"/>
  <c r="R227" i="15"/>
  <c r="R231" i="15"/>
  <c r="Q248" i="15"/>
  <c r="R211" i="15"/>
  <c r="R207" i="15"/>
  <c r="R243" i="15"/>
  <c r="N91" i="15"/>
  <c r="Q91" i="15" s="1"/>
  <c r="R111" i="15"/>
  <c r="R135" i="15"/>
  <c r="R107" i="15"/>
  <c r="R95" i="15"/>
  <c r="R123" i="15"/>
  <c r="Q135" i="15"/>
  <c r="N55" i="15"/>
  <c r="Q55" i="15" s="1"/>
  <c r="Q35" i="15"/>
  <c r="R43" i="15"/>
  <c r="R35" i="15"/>
  <c r="R23" i="15"/>
  <c r="Q207" i="15"/>
  <c r="Q115" i="15"/>
  <c r="R40" i="3"/>
  <c r="R54" i="3"/>
  <c r="R52" i="3"/>
  <c r="R53" i="3"/>
  <c r="R135" i="3"/>
  <c r="R109" i="3"/>
  <c r="R107" i="3"/>
  <c r="R84" i="3"/>
  <c r="R85" i="3"/>
  <c r="R134" i="3"/>
  <c r="R108" i="3"/>
  <c r="R83" i="3"/>
  <c r="R133" i="3"/>
  <c r="R71" i="3"/>
  <c r="Y47" i="3"/>
  <c r="Y48" i="3"/>
  <c r="Y50" i="3"/>
  <c r="Y46" i="3"/>
  <c r="Y51" i="3"/>
  <c r="Y49" i="3"/>
  <c r="R131" i="3"/>
  <c r="H55" i="31" s="1"/>
  <c r="K55" i="31" s="1"/>
  <c r="R126" i="3"/>
  <c r="H50" i="31" s="1"/>
  <c r="K50" i="31" s="1"/>
  <c r="R123" i="3"/>
  <c r="H47" i="31" s="1"/>
  <c r="K47" i="31" s="1"/>
  <c r="R122" i="3"/>
  <c r="H46" i="31" s="1"/>
  <c r="K46" i="31" s="1"/>
  <c r="R125" i="3"/>
  <c r="H49" i="31" s="1"/>
  <c r="K49" i="31" s="1"/>
  <c r="R128" i="3"/>
  <c r="H52" i="31" s="1"/>
  <c r="K52" i="31" s="1"/>
  <c r="R129" i="3"/>
  <c r="H53" i="31" s="1"/>
  <c r="K53" i="31" s="1"/>
  <c r="R121" i="3"/>
  <c r="H45" i="31" s="1"/>
  <c r="R124" i="3"/>
  <c r="H48" i="31" s="1"/>
  <c r="K48" i="31" s="1"/>
  <c r="R132" i="3"/>
  <c r="H56" i="31" s="1"/>
  <c r="K56" i="31" s="1"/>
  <c r="R127" i="3"/>
  <c r="H51" i="31" s="1"/>
  <c r="K51" i="31" s="1"/>
  <c r="R130" i="3"/>
  <c r="H54" i="31" s="1"/>
  <c r="K54" i="31" s="1"/>
  <c r="R98" i="3"/>
  <c r="H31" i="31" s="1"/>
  <c r="K31" i="31" s="1"/>
  <c r="R95" i="3"/>
  <c r="H28" i="31" s="1"/>
  <c r="R102" i="3"/>
  <c r="H35" i="31" s="1"/>
  <c r="K35" i="31" s="1"/>
  <c r="R106" i="3"/>
  <c r="H39" i="31" s="1"/>
  <c r="K39" i="31" s="1"/>
  <c r="R104" i="3"/>
  <c r="H37" i="31" s="1"/>
  <c r="K37" i="31" s="1"/>
  <c r="R97" i="3"/>
  <c r="H30" i="31" s="1"/>
  <c r="K30" i="31" s="1"/>
  <c r="R99" i="3"/>
  <c r="H32" i="31" s="1"/>
  <c r="K32" i="31" s="1"/>
  <c r="R103" i="3"/>
  <c r="H36" i="31" s="1"/>
  <c r="K36" i="31" s="1"/>
  <c r="R100" i="3"/>
  <c r="H33" i="31" s="1"/>
  <c r="K33" i="31" s="1"/>
  <c r="R96" i="3"/>
  <c r="H29" i="31" s="1"/>
  <c r="K29" i="31" s="1"/>
  <c r="R105" i="3"/>
  <c r="H38" i="31" s="1"/>
  <c r="K38" i="31" s="1"/>
  <c r="R101" i="3"/>
  <c r="H34" i="31" s="1"/>
  <c r="K34" i="31" s="1"/>
  <c r="R47" i="3"/>
  <c r="K97" i="31" s="1"/>
  <c r="R79" i="3"/>
  <c r="R48" i="3"/>
  <c r="K98" i="31" s="1"/>
  <c r="R72" i="3"/>
  <c r="R80" i="3"/>
  <c r="R41" i="3"/>
  <c r="R49" i="3"/>
  <c r="K99" i="31" s="1"/>
  <c r="R73" i="3"/>
  <c r="R81" i="3"/>
  <c r="R42" i="3"/>
  <c r="K92" i="31" s="1"/>
  <c r="R50" i="3"/>
  <c r="K100" i="31" s="1"/>
  <c r="R74" i="3"/>
  <c r="R82" i="3"/>
  <c r="R51" i="3"/>
  <c r="K101" i="31" s="1"/>
  <c r="R75" i="3"/>
  <c r="R44" i="3"/>
  <c r="K94" i="31" s="1"/>
  <c r="R76" i="3"/>
  <c r="R45" i="3"/>
  <c r="K95" i="31" s="1"/>
  <c r="R77" i="3"/>
  <c r="R46" i="3"/>
  <c r="K96" i="31" s="1"/>
  <c r="R78" i="3"/>
  <c r="W215" i="15"/>
  <c r="Q99" i="15"/>
  <c r="T99" i="15"/>
  <c r="T203" i="15"/>
  <c r="Q203" i="15"/>
  <c r="T115" i="15"/>
  <c r="T131" i="15"/>
  <c r="Q143" i="15"/>
  <c r="T143" i="15"/>
  <c r="T199" i="15"/>
  <c r="W207" i="15"/>
  <c r="T207" i="15"/>
  <c r="T95" i="15"/>
  <c r="T119" i="15"/>
  <c r="Q119" i="15"/>
  <c r="W119" i="15"/>
  <c r="T219" i="15"/>
  <c r="T231" i="15"/>
  <c r="Q231" i="15"/>
  <c r="W243" i="15"/>
  <c r="T243" i="15"/>
  <c r="T271" i="15"/>
  <c r="Q271" i="15"/>
  <c r="W275" i="15"/>
  <c r="T275" i="15"/>
  <c r="Q87" i="15"/>
  <c r="T87" i="15"/>
  <c r="Q63" i="15"/>
  <c r="T63" i="15"/>
  <c r="Q43" i="15"/>
  <c r="T43" i="15"/>
  <c r="T59" i="15"/>
  <c r="Q340" i="15"/>
  <c r="N339" i="15"/>
  <c r="N338" i="15" s="1"/>
  <c r="T340" i="15"/>
  <c r="Q344" i="15"/>
  <c r="T344" i="15"/>
  <c r="W344" i="15"/>
  <c r="Q219" i="15"/>
  <c r="M15" i="15"/>
  <c r="Q67" i="15"/>
  <c r="W67" i="15"/>
  <c r="T67" i="15"/>
  <c r="Q243" i="15"/>
  <c r="T31" i="15"/>
  <c r="T51" i="15"/>
  <c r="Q51" i="15"/>
  <c r="M86" i="15"/>
  <c r="N16" i="15"/>
  <c r="O262" i="15"/>
  <c r="O310" i="15"/>
  <c r="Q349" i="15"/>
  <c r="R16" i="15"/>
  <c r="V19" i="15"/>
  <c r="W19" i="15" s="1"/>
  <c r="V27" i="15"/>
  <c r="W27" i="15" s="1"/>
  <c r="T35" i="15"/>
  <c r="V82" i="15"/>
  <c r="W82" i="15" s="1"/>
  <c r="Q95" i="15"/>
  <c r="V99" i="15"/>
  <c r="W99" i="15" s="1"/>
  <c r="T107" i="15"/>
  <c r="V127" i="15"/>
  <c r="W127" i="15" s="1"/>
  <c r="T135" i="15"/>
  <c r="T160" i="15"/>
  <c r="V175" i="15"/>
  <c r="W175" i="15" s="1"/>
  <c r="M181" i="15"/>
  <c r="N179" i="15" s="1"/>
  <c r="R199" i="15"/>
  <c r="V203" i="15"/>
  <c r="W203" i="15" s="1"/>
  <c r="V223" i="15"/>
  <c r="W223" i="15" s="1"/>
  <c r="V231" i="15"/>
  <c r="W231" i="15" s="1"/>
  <c r="T239" i="15"/>
  <c r="T248" i="15"/>
  <c r="V263" i="15"/>
  <c r="W263" i="15" s="1"/>
  <c r="V271" i="15"/>
  <c r="W271" i="15" s="1"/>
  <c r="T296" i="15"/>
  <c r="V311" i="15"/>
  <c r="W311" i="15" s="1"/>
  <c r="V319" i="15"/>
  <c r="W319" i="15" s="1"/>
  <c r="Q324" i="15"/>
  <c r="T334" i="15"/>
  <c r="V359" i="15"/>
  <c r="W359" i="15" s="1"/>
  <c r="R87" i="15"/>
  <c r="O174" i="15"/>
  <c r="Q183" i="15"/>
  <c r="Q279" i="15"/>
  <c r="V35" i="15"/>
  <c r="W35" i="15" s="1"/>
  <c r="V43" i="15"/>
  <c r="W43" i="15" s="1"/>
  <c r="V63" i="15"/>
  <c r="W63" i="15" s="1"/>
  <c r="T72" i="15"/>
  <c r="V87" i="15"/>
  <c r="W87" i="15" s="1"/>
  <c r="V107" i="15"/>
  <c r="W107" i="15" s="1"/>
  <c r="V115" i="15"/>
  <c r="W115" i="15" s="1"/>
  <c r="V135" i="15"/>
  <c r="W135" i="15" s="1"/>
  <c r="V143" i="15"/>
  <c r="W143" i="15" s="1"/>
  <c r="T151" i="15"/>
  <c r="V160" i="15"/>
  <c r="W160" i="15" s="1"/>
  <c r="T183" i="15"/>
  <c r="T191" i="15"/>
  <c r="V239" i="15"/>
  <c r="W239" i="15" s="1"/>
  <c r="V248" i="15"/>
  <c r="W248" i="15" s="1"/>
  <c r="T279" i="15"/>
  <c r="T287" i="15"/>
  <c r="V296" i="15"/>
  <c r="W296" i="15" s="1"/>
  <c r="V334" i="15"/>
  <c r="W334" i="15" s="1"/>
  <c r="V340" i="15"/>
  <c r="W340" i="15" s="1"/>
  <c r="T349" i="15"/>
  <c r="Q72" i="15"/>
  <c r="R115" i="15"/>
  <c r="Q151" i="15"/>
  <c r="Q287" i="15"/>
  <c r="V51" i="15"/>
  <c r="W51" i="15" s="1"/>
  <c r="V72" i="15"/>
  <c r="W72" i="15" s="1"/>
  <c r="V151" i="15"/>
  <c r="W151" i="15" s="1"/>
  <c r="R179" i="15"/>
  <c r="V183" i="15"/>
  <c r="W183" i="15" s="1"/>
  <c r="V191" i="15"/>
  <c r="W191" i="15" s="1"/>
  <c r="V199" i="15"/>
  <c r="W199" i="15" s="1"/>
  <c r="T211" i="15"/>
  <c r="V279" i="15"/>
  <c r="W279" i="15" s="1"/>
  <c r="V287" i="15"/>
  <c r="W287" i="15" s="1"/>
  <c r="T324" i="15"/>
  <c r="V349" i="15"/>
  <c r="W349" i="15" s="1"/>
  <c r="Q354" i="15"/>
  <c r="V95" i="15"/>
  <c r="W95" i="15" s="1"/>
  <c r="V211" i="15"/>
  <c r="W211" i="15" s="1"/>
  <c r="V219" i="15"/>
  <c r="W219" i="15" s="1"/>
  <c r="T267" i="15"/>
  <c r="T315" i="15"/>
  <c r="V324" i="15"/>
  <c r="W324" i="15" s="1"/>
  <c r="V23" i="15"/>
  <c r="W23" i="15" s="1"/>
  <c r="V31" i="15"/>
  <c r="W31" i="15" s="1"/>
  <c r="V59" i="15"/>
  <c r="W59" i="15" s="1"/>
  <c r="V123" i="15"/>
  <c r="W123" i="15" s="1"/>
  <c r="V131" i="15"/>
  <c r="W131" i="15" s="1"/>
  <c r="V165" i="15"/>
  <c r="W165" i="15" s="1"/>
  <c r="V179" i="15"/>
  <c r="M199" i="15"/>
  <c r="Q199" i="15" s="1"/>
  <c r="V227" i="15"/>
  <c r="W227" i="15" s="1"/>
  <c r="V253" i="15"/>
  <c r="W253" i="15" s="1"/>
  <c r="V267" i="15"/>
  <c r="W267" i="15" s="1"/>
  <c r="V301" i="15"/>
  <c r="W301" i="15" s="1"/>
  <c r="V315" i="15"/>
  <c r="W315" i="15" s="1"/>
  <c r="V283" i="15"/>
  <c r="W283" i="15" s="1"/>
  <c r="V291" i="15"/>
  <c r="W291" i="15" s="1"/>
  <c r="V329" i="15"/>
  <c r="W329" i="15" s="1"/>
  <c r="E133" i="5" l="1"/>
  <c r="E134" i="5" s="1"/>
  <c r="I163" i="5" s="1"/>
  <c r="D187" i="5" s="1"/>
  <c r="D222" i="5" s="1"/>
  <c r="Q16" i="15"/>
  <c r="W16" i="15"/>
  <c r="T55" i="15"/>
  <c r="W91" i="15"/>
  <c r="W55" i="15"/>
  <c r="Q310" i="15"/>
  <c r="K91" i="31"/>
  <c r="Q262" i="15"/>
  <c r="O14" i="15"/>
  <c r="O13" i="15" s="1"/>
  <c r="E74" i="33" s="1"/>
  <c r="H124" i="31"/>
  <c r="H159" i="31" s="1"/>
  <c r="D182" i="31" s="1"/>
  <c r="D217" i="31" s="1"/>
  <c r="N86" i="15"/>
  <c r="Q86" i="15" s="1"/>
  <c r="T91" i="15"/>
  <c r="H128" i="5"/>
  <c r="H163" i="5" s="1"/>
  <c r="D186" i="5" s="1"/>
  <c r="D221" i="5" s="1"/>
  <c r="K90" i="31"/>
  <c r="R55" i="3"/>
  <c r="Q109" i="5"/>
  <c r="Q100" i="31"/>
  <c r="Q107" i="5"/>
  <c r="Q98" i="31"/>
  <c r="Q110" i="5"/>
  <c r="Q101" i="31"/>
  <c r="Q106" i="5"/>
  <c r="Q97" i="31"/>
  <c r="Q108" i="5"/>
  <c r="Q99" i="31"/>
  <c r="Q105" i="5"/>
  <c r="Q96" i="31"/>
  <c r="K45" i="31"/>
  <c r="K57" i="31" s="1"/>
  <c r="J175" i="31" s="1"/>
  <c r="D188" i="31" s="1"/>
  <c r="D211" i="31" s="1"/>
  <c r="H57" i="31"/>
  <c r="H40" i="31"/>
  <c r="K28" i="31"/>
  <c r="K40" i="31" s="1"/>
  <c r="I175" i="31" s="1"/>
  <c r="D187" i="31" s="1"/>
  <c r="D210" i="31" s="1"/>
  <c r="Q338" i="15"/>
  <c r="H56" i="21"/>
  <c r="K56" i="21" s="1"/>
  <c r="H56" i="23"/>
  <c r="K56" i="23" s="1"/>
  <c r="H48" i="21"/>
  <c r="K48" i="21" s="1"/>
  <c r="H48" i="23"/>
  <c r="K48" i="23" s="1"/>
  <c r="H43" i="21"/>
  <c r="K43" i="21" s="1"/>
  <c r="H43" i="23"/>
  <c r="K43" i="23" s="1"/>
  <c r="H54" i="21"/>
  <c r="H54" i="23"/>
  <c r="H61" i="21"/>
  <c r="K61" i="21" s="1"/>
  <c r="H61" i="23"/>
  <c r="K61" i="23" s="1"/>
  <c r="H63" i="21"/>
  <c r="K63" i="21" s="1"/>
  <c r="H63" i="23"/>
  <c r="K63" i="23" s="1"/>
  <c r="H65" i="21"/>
  <c r="K65" i="21" s="1"/>
  <c r="H65" i="23"/>
  <c r="K65" i="23" s="1"/>
  <c r="H38" i="21"/>
  <c r="K38" i="21" s="1"/>
  <c r="H38" i="23"/>
  <c r="K38" i="23" s="1"/>
  <c r="H40" i="21"/>
  <c r="K40" i="21" s="1"/>
  <c r="H40" i="23"/>
  <c r="K40" i="23" s="1"/>
  <c r="H45" i="21"/>
  <c r="K45" i="21" s="1"/>
  <c r="H45" i="23"/>
  <c r="K45" i="23" s="1"/>
  <c r="H59" i="21"/>
  <c r="K59" i="21" s="1"/>
  <c r="H59" i="23"/>
  <c r="K59" i="23" s="1"/>
  <c r="H47" i="21"/>
  <c r="K47" i="21" s="1"/>
  <c r="H47" i="23"/>
  <c r="K47" i="23" s="1"/>
  <c r="H58" i="21"/>
  <c r="K58" i="21" s="1"/>
  <c r="H58" i="23"/>
  <c r="K58" i="23" s="1"/>
  <c r="H64" i="21"/>
  <c r="K64" i="21" s="1"/>
  <c r="H64" i="23"/>
  <c r="K64" i="23" s="1"/>
  <c r="H57" i="21"/>
  <c r="K57" i="21" s="1"/>
  <c r="H57" i="23"/>
  <c r="K57" i="23" s="1"/>
  <c r="H62" i="21"/>
  <c r="K62" i="21" s="1"/>
  <c r="H62" i="23"/>
  <c r="K62" i="23" s="1"/>
  <c r="H41" i="21"/>
  <c r="K41" i="21" s="1"/>
  <c r="H41" i="23"/>
  <c r="K41" i="23" s="1"/>
  <c r="H39" i="21"/>
  <c r="K39" i="21" s="1"/>
  <c r="H39" i="23"/>
  <c r="K39" i="23" s="1"/>
  <c r="H37" i="21"/>
  <c r="K37" i="21" s="1"/>
  <c r="H37" i="23"/>
  <c r="H55" i="21"/>
  <c r="K55" i="21" s="1"/>
  <c r="H55" i="23"/>
  <c r="K55" i="23" s="1"/>
  <c r="H46" i="21"/>
  <c r="K46" i="21" s="1"/>
  <c r="H46" i="23"/>
  <c r="K46" i="23" s="1"/>
  <c r="H44" i="21"/>
  <c r="K44" i="21" s="1"/>
  <c r="H44" i="23"/>
  <c r="K44" i="23" s="1"/>
  <c r="H42" i="21"/>
  <c r="K42" i="21" s="1"/>
  <c r="H42" i="23"/>
  <c r="K42" i="23" s="1"/>
  <c r="H60" i="21"/>
  <c r="K60" i="21" s="1"/>
  <c r="H60" i="23"/>
  <c r="K60" i="23" s="1"/>
  <c r="M174" i="15"/>
  <c r="M14" i="15" s="1"/>
  <c r="M13" i="15" s="1"/>
  <c r="R56" i="3"/>
  <c r="V40" i="3" s="1"/>
  <c r="K101" i="5"/>
  <c r="K100" i="5"/>
  <c r="K99" i="5"/>
  <c r="K103" i="5"/>
  <c r="K106" i="5"/>
  <c r="K108" i="5"/>
  <c r="K102" i="5"/>
  <c r="K105" i="5"/>
  <c r="K110" i="5"/>
  <c r="K104" i="5"/>
  <c r="K109" i="5"/>
  <c r="K107" i="5"/>
  <c r="H41" i="5"/>
  <c r="K41" i="5" s="1"/>
  <c r="H39" i="5"/>
  <c r="K39" i="5" s="1"/>
  <c r="H65" i="5"/>
  <c r="K65" i="5" s="1"/>
  <c r="H59" i="5"/>
  <c r="K59" i="5" s="1"/>
  <c r="H60" i="5"/>
  <c r="K60" i="5" s="1"/>
  <c r="H46" i="5"/>
  <c r="K46" i="5" s="1"/>
  <c r="H57" i="5"/>
  <c r="K57" i="5" s="1"/>
  <c r="H64" i="5"/>
  <c r="K64" i="5" s="1"/>
  <c r="H43" i="5"/>
  <c r="K43" i="5" s="1"/>
  <c r="H48" i="5"/>
  <c r="K48" i="5" s="1"/>
  <c r="H54" i="5"/>
  <c r="H47" i="5"/>
  <c r="K47" i="5" s="1"/>
  <c r="H44" i="5"/>
  <c r="K44" i="5" s="1"/>
  <c r="H62" i="5"/>
  <c r="K62" i="5" s="1"/>
  <c r="H38" i="5"/>
  <c r="K38" i="5" s="1"/>
  <c r="H37" i="5"/>
  <c r="H61" i="5"/>
  <c r="K61" i="5" s="1"/>
  <c r="H56" i="5"/>
  <c r="K56" i="5" s="1"/>
  <c r="H42" i="5"/>
  <c r="K42" i="5" s="1"/>
  <c r="H40" i="5"/>
  <c r="K40" i="5" s="1"/>
  <c r="H58" i="5"/>
  <c r="K58" i="5" s="1"/>
  <c r="H45" i="5"/>
  <c r="K45" i="5" s="1"/>
  <c r="H63" i="5"/>
  <c r="K63" i="5" s="1"/>
  <c r="H55" i="5"/>
  <c r="K55" i="5" s="1"/>
  <c r="H33" i="24"/>
  <c r="K33" i="24" s="1"/>
  <c r="H38" i="24"/>
  <c r="K38" i="24" s="1"/>
  <c r="H55" i="24"/>
  <c r="K55" i="24" s="1"/>
  <c r="H46" i="24"/>
  <c r="K46" i="24" s="1"/>
  <c r="H37" i="24"/>
  <c r="K37" i="24" s="1"/>
  <c r="H34" i="24"/>
  <c r="K34" i="24" s="1"/>
  <c r="H47" i="24"/>
  <c r="K47" i="24" s="1"/>
  <c r="H49" i="24"/>
  <c r="K49" i="24" s="1"/>
  <c r="H32" i="24"/>
  <c r="K32" i="24" s="1"/>
  <c r="H30" i="24"/>
  <c r="K30" i="24" s="1"/>
  <c r="H52" i="24"/>
  <c r="K52" i="24" s="1"/>
  <c r="H28" i="24"/>
  <c r="K28" i="24" s="1"/>
  <c r="H54" i="24"/>
  <c r="K54" i="24" s="1"/>
  <c r="H35" i="24"/>
  <c r="K35" i="24" s="1"/>
  <c r="H51" i="24"/>
  <c r="K51" i="24" s="1"/>
  <c r="H27" i="24"/>
  <c r="H31" i="24"/>
  <c r="K31" i="24" s="1"/>
  <c r="H48" i="24"/>
  <c r="K48" i="24" s="1"/>
  <c r="H29" i="24"/>
  <c r="K29" i="24" s="1"/>
  <c r="H53" i="24"/>
  <c r="K53" i="24" s="1"/>
  <c r="H45" i="24"/>
  <c r="K45" i="24" s="1"/>
  <c r="H44" i="24"/>
  <c r="H36" i="24"/>
  <c r="K36" i="24" s="1"/>
  <c r="H50" i="24"/>
  <c r="K50" i="24" s="1"/>
  <c r="H39" i="18"/>
  <c r="K39" i="18" s="1"/>
  <c r="H58" i="18"/>
  <c r="K58" i="18" s="1"/>
  <c r="H62" i="18"/>
  <c r="K62" i="18" s="1"/>
  <c r="H46" i="18"/>
  <c r="K46" i="18" s="1"/>
  <c r="H63" i="18"/>
  <c r="K63" i="18" s="1"/>
  <c r="H55" i="18"/>
  <c r="K55" i="18" s="1"/>
  <c r="H43" i="18"/>
  <c r="K43" i="18" s="1"/>
  <c r="H48" i="18"/>
  <c r="K48" i="18" s="1"/>
  <c r="H60" i="18"/>
  <c r="K60" i="18" s="1"/>
  <c r="H61" i="18"/>
  <c r="K61" i="18" s="1"/>
  <c r="H47" i="18"/>
  <c r="K47" i="18" s="1"/>
  <c r="H44" i="18"/>
  <c r="K44" i="18" s="1"/>
  <c r="H65" i="18"/>
  <c r="K65" i="18" s="1"/>
  <c r="H56" i="18"/>
  <c r="K56" i="18" s="1"/>
  <c r="H45" i="18"/>
  <c r="K45" i="18" s="1"/>
  <c r="H41" i="18"/>
  <c r="K41" i="18" s="1"/>
  <c r="H38" i="18"/>
  <c r="K38" i="18" s="1"/>
  <c r="H37" i="18"/>
  <c r="H57" i="18"/>
  <c r="K57" i="18" s="1"/>
  <c r="H59" i="18"/>
  <c r="K59" i="18" s="1"/>
  <c r="H42" i="18"/>
  <c r="K42" i="18" s="1"/>
  <c r="H40" i="18"/>
  <c r="K40" i="18" s="1"/>
  <c r="H54" i="18"/>
  <c r="H64" i="18"/>
  <c r="K64" i="18" s="1"/>
  <c r="AB51" i="3"/>
  <c r="AB50" i="3"/>
  <c r="AB49" i="3"/>
  <c r="AB48" i="3"/>
  <c r="AB47" i="3"/>
  <c r="AB46" i="3"/>
  <c r="R136" i="3"/>
  <c r="R86" i="3"/>
  <c r="R110" i="3"/>
  <c r="T16" i="15"/>
  <c r="N15" i="15"/>
  <c r="Q15" i="15" s="1"/>
  <c r="N174" i="15"/>
  <c r="T179" i="15"/>
  <c r="W179" i="15"/>
  <c r="Q339" i="15"/>
  <c r="Q179" i="15"/>
  <c r="W13" i="15" l="1"/>
  <c r="V53" i="3"/>
  <c r="Y53" i="3" s="1"/>
  <c r="AB53" i="3" s="1"/>
  <c r="V54" i="3"/>
  <c r="Y54" i="3" s="1"/>
  <c r="AB54" i="3" s="1"/>
  <c r="V45" i="3"/>
  <c r="Y45" i="3" s="1"/>
  <c r="V52" i="3"/>
  <c r="Y52" i="3" s="1"/>
  <c r="AB52" i="3" s="1"/>
  <c r="V43" i="3"/>
  <c r="Y43" i="3" s="1"/>
  <c r="V44" i="3"/>
  <c r="Y44" i="3" s="1"/>
  <c r="V41" i="3"/>
  <c r="Y41" i="3" s="1"/>
  <c r="V42" i="3"/>
  <c r="Y42" i="3" s="1"/>
  <c r="Y40" i="3"/>
  <c r="Q174" i="15"/>
  <c r="K102" i="31"/>
  <c r="J23" i="3"/>
  <c r="E155" i="31"/>
  <c r="T98" i="31"/>
  <c r="F155" i="31" s="1"/>
  <c r="E153" i="31"/>
  <c r="T96" i="31"/>
  <c r="F153" i="31" s="1"/>
  <c r="E154" i="31"/>
  <c r="T97" i="31"/>
  <c r="F154" i="31" s="1"/>
  <c r="T99" i="31"/>
  <c r="F156" i="31" s="1"/>
  <c r="E156" i="31"/>
  <c r="T100" i="31"/>
  <c r="F157" i="31" s="1"/>
  <c r="E157" i="31"/>
  <c r="T101" i="31"/>
  <c r="F158" i="31" s="1"/>
  <c r="E158" i="31"/>
  <c r="D16" i="31"/>
  <c r="D222" i="31"/>
  <c r="E133" i="31"/>
  <c r="E134" i="31"/>
  <c r="D75" i="24"/>
  <c r="D85" i="24" s="1"/>
  <c r="D10" i="24" s="1"/>
  <c r="D16" i="24"/>
  <c r="H66" i="23"/>
  <c r="K54" i="23"/>
  <c r="K66" i="23" s="1"/>
  <c r="H49" i="23"/>
  <c r="K37" i="23"/>
  <c r="K49" i="23" s="1"/>
  <c r="D81" i="23" s="1"/>
  <c r="D85" i="23"/>
  <c r="D22" i="23"/>
  <c r="D23" i="23" s="1"/>
  <c r="H49" i="5"/>
  <c r="H66" i="5"/>
  <c r="H66" i="21"/>
  <c r="K54" i="21"/>
  <c r="K66" i="21" s="1"/>
  <c r="D82" i="21" s="1"/>
  <c r="K37" i="5"/>
  <c r="K49" i="5" s="1"/>
  <c r="I179" i="5" s="1"/>
  <c r="D191" i="5" s="1"/>
  <c r="D214" i="5" s="1"/>
  <c r="K49" i="21"/>
  <c r="D81" i="21" s="1"/>
  <c r="K54" i="5"/>
  <c r="K66" i="5" s="1"/>
  <c r="J179" i="5" s="1"/>
  <c r="D192" i="5" s="1"/>
  <c r="D215" i="5" s="1"/>
  <c r="E138" i="5"/>
  <c r="D85" i="21"/>
  <c r="D22" i="21"/>
  <c r="D23" i="21" s="1"/>
  <c r="H49" i="21"/>
  <c r="E157" i="5"/>
  <c r="T105" i="5"/>
  <c r="F157" i="5" s="1"/>
  <c r="E158" i="5"/>
  <c r="T106" i="5"/>
  <c r="F158" i="5" s="1"/>
  <c r="E159" i="5"/>
  <c r="T107" i="5"/>
  <c r="F159" i="5" s="1"/>
  <c r="E160" i="5"/>
  <c r="T108" i="5"/>
  <c r="F160" i="5" s="1"/>
  <c r="D22" i="5"/>
  <c r="D23" i="5" s="1"/>
  <c r="G179" i="5" s="1"/>
  <c r="D226" i="5"/>
  <c r="K111" i="5"/>
  <c r="E161" i="5"/>
  <c r="T109" i="5"/>
  <c r="F161" i="5" s="1"/>
  <c r="E137" i="5"/>
  <c r="E162" i="5"/>
  <c r="T110" i="5"/>
  <c r="F162" i="5" s="1"/>
  <c r="K27" i="24"/>
  <c r="K39" i="24" s="1"/>
  <c r="H39" i="24"/>
  <c r="K44" i="24"/>
  <c r="K56" i="24" s="1"/>
  <c r="H56" i="24"/>
  <c r="D85" i="18"/>
  <c r="K54" i="18"/>
  <c r="K66" i="18" s="1"/>
  <c r="D82" i="18" s="1"/>
  <c r="H66" i="18"/>
  <c r="K37" i="18"/>
  <c r="K49" i="18" s="1"/>
  <c r="D81" i="18" s="1"/>
  <c r="H49" i="18"/>
  <c r="D22" i="18"/>
  <c r="E72" i="33"/>
  <c r="N14" i="15"/>
  <c r="T13" i="15"/>
  <c r="D17" i="24" l="1"/>
  <c r="D69" i="24" s="1"/>
  <c r="D82" i="23"/>
  <c r="D79" i="23"/>
  <c r="D79" i="21"/>
  <c r="AB41" i="3"/>
  <c r="T100" i="5" s="1"/>
  <c r="F152" i="5" s="1"/>
  <c r="Q93" i="31"/>
  <c r="Q95" i="31"/>
  <c r="Q90" i="31"/>
  <c r="AB40" i="3"/>
  <c r="T90" i="31" s="1"/>
  <c r="F147" i="31" s="1"/>
  <c r="Q99" i="5"/>
  <c r="G153" i="31"/>
  <c r="G154" i="31"/>
  <c r="G155" i="31"/>
  <c r="G156" i="31"/>
  <c r="G158" i="31"/>
  <c r="G157" i="31"/>
  <c r="Q101" i="5"/>
  <c r="Q92" i="31"/>
  <c r="Q91" i="31"/>
  <c r="Q94" i="31"/>
  <c r="D11" i="24"/>
  <c r="D68" i="24" s="1"/>
  <c r="D22" i="24"/>
  <c r="D70" i="24" s="1"/>
  <c r="D6" i="31"/>
  <c r="D6" i="24"/>
  <c r="D6" i="23"/>
  <c r="D6" i="5"/>
  <c r="D6" i="21"/>
  <c r="D6" i="18"/>
  <c r="Q103" i="5"/>
  <c r="AB44" i="3"/>
  <c r="D17" i="31"/>
  <c r="G175" i="31" s="1"/>
  <c r="Q100" i="5"/>
  <c r="AB42" i="3"/>
  <c r="V55" i="3"/>
  <c r="D76" i="24" s="1"/>
  <c r="E135" i="31"/>
  <c r="J159" i="31" s="1"/>
  <c r="E139" i="5"/>
  <c r="J163" i="5" s="1"/>
  <c r="D188" i="5" s="1"/>
  <c r="D223" i="5" s="1"/>
  <c r="Q102" i="5"/>
  <c r="Q104" i="5"/>
  <c r="G161" i="5"/>
  <c r="G157" i="5"/>
  <c r="G159" i="5"/>
  <c r="D194" i="5"/>
  <c r="G158" i="5"/>
  <c r="G162" i="5"/>
  <c r="G160" i="5"/>
  <c r="D23" i="18"/>
  <c r="AB43" i="3"/>
  <c r="AB45" i="3"/>
  <c r="Y55" i="3"/>
  <c r="N13" i="15"/>
  <c r="E73" i="33" s="1"/>
  <c r="R338" i="15"/>
  <c r="Q14" i="15"/>
  <c r="D86" i="21" l="1"/>
  <c r="D86" i="23"/>
  <c r="D223" i="31"/>
  <c r="E148" i="31"/>
  <c r="T91" i="31"/>
  <c r="F148" i="31" s="1"/>
  <c r="E152" i="5"/>
  <c r="G152" i="5" s="1"/>
  <c r="D79" i="18"/>
  <c r="Q102" i="31"/>
  <c r="E151" i="5"/>
  <c r="E147" i="31"/>
  <c r="G147" i="31" s="1"/>
  <c r="T99" i="5"/>
  <c r="F151" i="5" s="1"/>
  <c r="E153" i="5"/>
  <c r="T101" i="5"/>
  <c r="F153" i="5" s="1"/>
  <c r="T92" i="31"/>
  <c r="F149" i="31" s="1"/>
  <c r="E149" i="31"/>
  <c r="T93" i="31"/>
  <c r="F150" i="31" s="1"/>
  <c r="E150" i="31"/>
  <c r="T95" i="31"/>
  <c r="F152" i="31" s="1"/>
  <c r="E152" i="31"/>
  <c r="T103" i="5"/>
  <c r="F155" i="5" s="1"/>
  <c r="T94" i="31"/>
  <c r="F151" i="31" s="1"/>
  <c r="E151" i="31"/>
  <c r="E155" i="5"/>
  <c r="D77" i="18"/>
  <c r="D77" i="21"/>
  <c r="D84" i="21" s="1"/>
  <c r="E179" i="5"/>
  <c r="D210" i="5"/>
  <c r="D77" i="23"/>
  <c r="D16" i="5"/>
  <c r="D17" i="5" s="1"/>
  <c r="F179" i="5" s="1"/>
  <c r="D193" i="5" s="1"/>
  <c r="D211" i="5" s="1"/>
  <c r="D16" i="21"/>
  <c r="D17" i="21" s="1"/>
  <c r="D78" i="21" s="1"/>
  <c r="D16" i="23"/>
  <c r="D17" i="23" s="1"/>
  <c r="D78" i="23" s="1"/>
  <c r="D16" i="18"/>
  <c r="D17" i="18" s="1"/>
  <c r="D78" i="18" s="1"/>
  <c r="D67" i="24"/>
  <c r="D74" i="24" s="1"/>
  <c r="D206" i="31"/>
  <c r="E175" i="31"/>
  <c r="D190" i="31"/>
  <c r="D86" i="18"/>
  <c r="D227" i="5"/>
  <c r="D184" i="31"/>
  <c r="Q111" i="5"/>
  <c r="E156" i="5"/>
  <c r="T104" i="5"/>
  <c r="F156" i="5" s="1"/>
  <c r="D212" i="5"/>
  <c r="E154" i="5"/>
  <c r="T102" i="5"/>
  <c r="F154" i="5" s="1"/>
  <c r="U13" i="15"/>
  <c r="U12" i="15" s="1"/>
  <c r="O6" i="15" s="1"/>
  <c r="V13" i="15"/>
  <c r="Q13" i="15"/>
  <c r="AB55" i="3"/>
  <c r="J24" i="3" s="1"/>
  <c r="A2" i="5"/>
  <c r="A1" i="5"/>
  <c r="A3" i="5"/>
  <c r="B21" i="5" s="1"/>
  <c r="F8" i="13"/>
  <c r="F7" i="13"/>
  <c r="E6" i="13"/>
  <c r="D6" i="13"/>
  <c r="C6" i="13"/>
  <c r="B8" i="13"/>
  <c r="B9" i="13"/>
  <c r="B7" i="13"/>
  <c r="D84" i="23" l="1"/>
  <c r="G148" i="31"/>
  <c r="F9" i="13"/>
  <c r="E35" i="1" s="1"/>
  <c r="E111" i="33"/>
  <c r="E115" i="33" s="1"/>
  <c r="G151" i="5"/>
  <c r="G153" i="5"/>
  <c r="E190" i="5"/>
  <c r="G155" i="5"/>
  <c r="G152" i="31"/>
  <c r="G150" i="31"/>
  <c r="E159" i="31"/>
  <c r="I168" i="31" s="1"/>
  <c r="D224" i="31"/>
  <c r="T102" i="31"/>
  <c r="G149" i="31"/>
  <c r="G151" i="31"/>
  <c r="D198" i="5"/>
  <c r="E69" i="23"/>
  <c r="E70" i="23" s="1"/>
  <c r="E60" i="31"/>
  <c r="E61" i="31" s="1"/>
  <c r="E69" i="18"/>
  <c r="E70" i="18" s="1"/>
  <c r="D194" i="31"/>
  <c r="E69" i="21"/>
  <c r="E70" i="21" s="1"/>
  <c r="E59" i="24"/>
  <c r="E60" i="24" s="1"/>
  <c r="E69" i="5"/>
  <c r="E70" i="5" s="1"/>
  <c r="D208" i="31"/>
  <c r="D219" i="31"/>
  <c r="D77" i="24"/>
  <c r="D87" i="23"/>
  <c r="E163" i="5"/>
  <c r="H171" i="5" s="1"/>
  <c r="D87" i="21"/>
  <c r="D88" i="21" s="1"/>
  <c r="D90" i="21" s="1"/>
  <c r="G156" i="5"/>
  <c r="D228" i="5"/>
  <c r="T111" i="5"/>
  <c r="G154" i="5"/>
  <c r="D87" i="18"/>
  <c r="F102" i="33" l="1"/>
  <c r="F4" i="1"/>
  <c r="C35" i="1" a="1"/>
  <c r="C35" i="1" s="1"/>
  <c r="E174" i="31"/>
  <c r="E172" i="31"/>
  <c r="E173" i="31"/>
  <c r="E168" i="31"/>
  <c r="E163" i="31"/>
  <c r="E164" i="31"/>
  <c r="G168" i="31"/>
  <c r="J166" i="31"/>
  <c r="H150" i="31"/>
  <c r="H149" i="31"/>
  <c r="H151" i="31"/>
  <c r="E166" i="31"/>
  <c r="J165" i="31"/>
  <c r="K151" i="31"/>
  <c r="E170" i="31"/>
  <c r="I165" i="31"/>
  <c r="E167" i="31"/>
  <c r="I151" i="31"/>
  <c r="J151" i="31"/>
  <c r="H152" i="31"/>
  <c r="K152" i="31"/>
  <c r="I166" i="31"/>
  <c r="I152" i="31"/>
  <c r="E169" i="31"/>
  <c r="K150" i="31"/>
  <c r="K149" i="31"/>
  <c r="G159" i="31"/>
  <c r="D181" i="31" s="1"/>
  <c r="E171" i="31"/>
  <c r="I150" i="31"/>
  <c r="I149" i="31"/>
  <c r="H154" i="31"/>
  <c r="K153" i="31"/>
  <c r="K157" i="31"/>
  <c r="H155" i="31"/>
  <c r="I153" i="31"/>
  <c r="J172" i="31"/>
  <c r="I174" i="31"/>
  <c r="H153" i="31"/>
  <c r="H157" i="31"/>
  <c r="K154" i="31"/>
  <c r="K155" i="31"/>
  <c r="I172" i="31"/>
  <c r="J170" i="31"/>
  <c r="J174" i="31"/>
  <c r="I171" i="31"/>
  <c r="I156" i="31"/>
  <c r="K156" i="31"/>
  <c r="I157" i="31"/>
  <c r="I170" i="31"/>
  <c r="I169" i="31"/>
  <c r="I173" i="31"/>
  <c r="J171" i="31"/>
  <c r="I158" i="31"/>
  <c r="K158" i="31"/>
  <c r="H158" i="31"/>
  <c r="J169" i="31"/>
  <c r="J173" i="31"/>
  <c r="I154" i="31"/>
  <c r="I155" i="31"/>
  <c r="H156" i="31"/>
  <c r="I148" i="31"/>
  <c r="I147" i="31"/>
  <c r="G173" i="31"/>
  <c r="J157" i="31"/>
  <c r="J158" i="31"/>
  <c r="J149" i="31"/>
  <c r="K148" i="31"/>
  <c r="K147" i="31"/>
  <c r="G165" i="31"/>
  <c r="J153" i="31"/>
  <c r="G170" i="31"/>
  <c r="J150" i="31"/>
  <c r="G171" i="31"/>
  <c r="G166" i="31"/>
  <c r="J152" i="31"/>
  <c r="H148" i="31"/>
  <c r="H147" i="31"/>
  <c r="G163" i="31"/>
  <c r="J155" i="31"/>
  <c r="G169" i="31"/>
  <c r="J164" i="31"/>
  <c r="G174" i="31"/>
  <c r="J154" i="31"/>
  <c r="J156" i="31"/>
  <c r="J148" i="31"/>
  <c r="I164" i="31"/>
  <c r="J163" i="31"/>
  <c r="G164" i="31"/>
  <c r="J147" i="31"/>
  <c r="I163" i="31"/>
  <c r="G172" i="31"/>
  <c r="J167" i="31"/>
  <c r="J168" i="31"/>
  <c r="E165" i="31"/>
  <c r="G167" i="31"/>
  <c r="I167" i="31"/>
  <c r="E71" i="5"/>
  <c r="E73" i="5" s="1"/>
  <c r="E72" i="5"/>
  <c r="D200" i="5" s="1"/>
  <c r="E62" i="31"/>
  <c r="E64" i="31" s="1"/>
  <c r="E63" i="31"/>
  <c r="D196" i="31" s="1"/>
  <c r="E72" i="21"/>
  <c r="E71" i="21"/>
  <c r="E61" i="24"/>
  <c r="E62" i="24"/>
  <c r="E71" i="23"/>
  <c r="E72" i="23"/>
  <c r="E71" i="18"/>
  <c r="E72" i="18"/>
  <c r="K160" i="5"/>
  <c r="J174" i="5"/>
  <c r="I168" i="5"/>
  <c r="F173" i="5"/>
  <c r="H155" i="5"/>
  <c r="G176" i="5"/>
  <c r="K156" i="5"/>
  <c r="H153" i="5"/>
  <c r="H160" i="5"/>
  <c r="I175" i="5"/>
  <c r="G170" i="5"/>
  <c r="I176" i="5"/>
  <c r="J153" i="5"/>
  <c r="F178" i="5"/>
  <c r="F167" i="5"/>
  <c r="I170" i="5"/>
  <c r="K161" i="5"/>
  <c r="G169" i="5"/>
  <c r="J171" i="5"/>
  <c r="K154" i="5"/>
  <c r="J173" i="5"/>
  <c r="J168" i="5"/>
  <c r="H159" i="5"/>
  <c r="I161" i="5"/>
  <c r="I171" i="5"/>
  <c r="I169" i="5"/>
  <c r="I154" i="5"/>
  <c r="F168" i="5"/>
  <c r="G178" i="5"/>
  <c r="E178" i="5"/>
  <c r="J162" i="5"/>
  <c r="G177" i="5"/>
  <c r="J160" i="5"/>
  <c r="H168" i="5"/>
  <c r="G172" i="5"/>
  <c r="H167" i="5"/>
  <c r="G171" i="5"/>
  <c r="H154" i="5"/>
  <c r="G168" i="5"/>
  <c r="J178" i="5"/>
  <c r="H178" i="5"/>
  <c r="I178" i="5"/>
  <c r="H177" i="5"/>
  <c r="H162" i="5"/>
  <c r="I152" i="5"/>
  <c r="H172" i="5"/>
  <c r="E167" i="5"/>
  <c r="G167" i="5"/>
  <c r="J169" i="5"/>
  <c r="E170" i="5"/>
  <c r="G174" i="5"/>
  <c r="J176" i="5"/>
  <c r="F174" i="5"/>
  <c r="H174" i="5"/>
  <c r="J158" i="5"/>
  <c r="I153" i="5"/>
  <c r="J156" i="5"/>
  <c r="I151" i="5"/>
  <c r="H152" i="5"/>
  <c r="H151" i="5"/>
  <c r="J154" i="5"/>
  <c r="I174" i="5"/>
  <c r="I158" i="5"/>
  <c r="K158" i="5"/>
  <c r="J175" i="5"/>
  <c r="H176" i="5"/>
  <c r="F175" i="5"/>
  <c r="K152" i="5"/>
  <c r="J152" i="5"/>
  <c r="I155" i="5"/>
  <c r="E168" i="5"/>
  <c r="F170" i="5"/>
  <c r="G173" i="5"/>
  <c r="J177" i="5"/>
  <c r="I159" i="5"/>
  <c r="E176" i="5"/>
  <c r="I177" i="5"/>
  <c r="E171" i="5"/>
  <c r="F172" i="5"/>
  <c r="J155" i="5"/>
  <c r="K153" i="5"/>
  <c r="F171" i="5"/>
  <c r="K159" i="5"/>
  <c r="J159" i="5"/>
  <c r="E175" i="5"/>
  <c r="K162" i="5"/>
  <c r="E174" i="5"/>
  <c r="E177" i="5"/>
  <c r="F169" i="5"/>
  <c r="E172" i="5"/>
  <c r="H169" i="5"/>
  <c r="I167" i="5"/>
  <c r="H156" i="5"/>
  <c r="J170" i="5"/>
  <c r="H170" i="5"/>
  <c r="I162" i="5"/>
  <c r="G175" i="5"/>
  <c r="I157" i="5"/>
  <c r="I160" i="5"/>
  <c r="H161" i="5"/>
  <c r="F177" i="5"/>
  <c r="H158" i="5"/>
  <c r="J161" i="5"/>
  <c r="K151" i="5"/>
  <c r="K155" i="5"/>
  <c r="I172" i="5"/>
  <c r="J167" i="5"/>
  <c r="K157" i="5"/>
  <c r="H175" i="5"/>
  <c r="J157" i="5"/>
  <c r="F176" i="5"/>
  <c r="H157" i="5"/>
  <c r="E173" i="5"/>
  <c r="I173" i="5"/>
  <c r="H173" i="5"/>
  <c r="E169" i="5"/>
  <c r="J151" i="5"/>
  <c r="I156" i="5"/>
  <c r="J172" i="5"/>
  <c r="G163" i="5"/>
  <c r="D185" i="5" s="1"/>
  <c r="D220" i="5" s="1"/>
  <c r="D225" i="5" s="1"/>
  <c r="D229" i="5" s="1"/>
  <c r="B18" i="30"/>
  <c r="C18" i="30"/>
  <c r="A18" i="30"/>
  <c r="L152" i="31" l="1"/>
  <c r="L151" i="31"/>
  <c r="L153" i="31"/>
  <c r="L149" i="31"/>
  <c r="L150" i="31"/>
  <c r="L156" i="31"/>
  <c r="L154" i="31"/>
  <c r="L158" i="31"/>
  <c r="L147" i="31"/>
  <c r="D216" i="31"/>
  <c r="E180" i="31"/>
  <c r="L155" i="31"/>
  <c r="L157" i="31"/>
  <c r="L148" i="31"/>
  <c r="D201" i="31"/>
  <c r="E65" i="31"/>
  <c r="K175" i="31" s="1"/>
  <c r="E73" i="18"/>
  <c r="E74" i="18" s="1"/>
  <c r="D83" i="18" s="1"/>
  <c r="E74" i="5"/>
  <c r="K179" i="5" s="1"/>
  <c r="D205" i="5"/>
  <c r="E63" i="24"/>
  <c r="E64" i="24" s="1"/>
  <c r="E73" i="23"/>
  <c r="E74" i="23" s="1"/>
  <c r="E73" i="21"/>
  <c r="E74" i="21" s="1"/>
  <c r="L154" i="5"/>
  <c r="L159" i="5"/>
  <c r="L160" i="5"/>
  <c r="L153" i="5"/>
  <c r="L162" i="5"/>
  <c r="L152" i="5"/>
  <c r="L158" i="5"/>
  <c r="L156" i="5"/>
  <c r="L155" i="5"/>
  <c r="L151" i="5"/>
  <c r="L161" i="5"/>
  <c r="L157" i="5"/>
  <c r="E184" i="5"/>
  <c r="D237" i="5"/>
  <c r="D84" i="18" l="1"/>
  <c r="D88" i="18" s="1"/>
  <c r="D90" i="18" s="1"/>
  <c r="L159" i="31"/>
  <c r="D233" i="31"/>
  <c r="D235" i="31" s="1"/>
  <c r="D10" i="31" s="1"/>
  <c r="D221" i="31"/>
  <c r="D202" i="5"/>
  <c r="D216" i="5" s="1"/>
  <c r="L179" i="5"/>
  <c r="K176" i="5"/>
  <c r="L176" i="5" s="1"/>
  <c r="O176" i="5" s="1"/>
  <c r="K173" i="5"/>
  <c r="L173" i="5" s="1"/>
  <c r="O173" i="5" s="1"/>
  <c r="K170" i="5"/>
  <c r="L170" i="5" s="1"/>
  <c r="O170" i="5" s="1"/>
  <c r="P170" i="5" s="1"/>
  <c r="Q170" i="5" s="1"/>
  <c r="K177" i="5"/>
  <c r="L177" i="5" s="1"/>
  <c r="O177" i="5" s="1"/>
  <c r="K178" i="5"/>
  <c r="L178" i="5" s="1"/>
  <c r="O178" i="5" s="1"/>
  <c r="K168" i="5"/>
  <c r="L168" i="5" s="1"/>
  <c r="O168" i="5" s="1"/>
  <c r="K174" i="5"/>
  <c r="L174" i="5" s="1"/>
  <c r="O174" i="5" s="1"/>
  <c r="K169" i="5"/>
  <c r="L169" i="5" s="1"/>
  <c r="O169" i="5" s="1"/>
  <c r="P169" i="5" s="1"/>
  <c r="Q169" i="5" s="1"/>
  <c r="K167" i="5"/>
  <c r="L167" i="5" s="1"/>
  <c r="O167" i="5" s="1"/>
  <c r="K171" i="5"/>
  <c r="L171" i="5" s="1"/>
  <c r="O171" i="5" s="1"/>
  <c r="P171" i="5" s="1"/>
  <c r="Q171" i="5" s="1"/>
  <c r="K172" i="5"/>
  <c r="L172" i="5" s="1"/>
  <c r="O172" i="5" s="1"/>
  <c r="P172" i="5" s="1"/>
  <c r="Q172" i="5" s="1"/>
  <c r="K175" i="5"/>
  <c r="L175" i="5" s="1"/>
  <c r="O175" i="5" s="1"/>
  <c r="D198" i="31"/>
  <c r="D212" i="31" s="1"/>
  <c r="K172" i="31"/>
  <c r="K164" i="31"/>
  <c r="K168" i="31"/>
  <c r="K170" i="31"/>
  <c r="K171" i="31"/>
  <c r="K167" i="31"/>
  <c r="K163" i="31"/>
  <c r="K169" i="31"/>
  <c r="K166" i="31"/>
  <c r="K165" i="31"/>
  <c r="K173" i="31"/>
  <c r="K174" i="31"/>
  <c r="L163" i="5"/>
  <c r="D239" i="5"/>
  <c r="D225" i="31" l="1"/>
  <c r="D22" i="31"/>
  <c r="D23" i="31" s="1"/>
  <c r="H175" i="31" s="1"/>
  <c r="D11" i="31"/>
  <c r="F175" i="31" s="1"/>
  <c r="Q179" i="5"/>
  <c r="Q180" i="5" s="1"/>
  <c r="D203" i="5" s="1"/>
  <c r="D217" i="5" s="1"/>
  <c r="D219" i="5" s="1"/>
  <c r="P179" i="5"/>
  <c r="O179" i="5"/>
  <c r="D230" i="5" l="1"/>
  <c r="D233" i="5" s="1"/>
  <c r="D189" i="31"/>
  <c r="F165" i="31"/>
  <c r="L165" i="31" s="1"/>
  <c r="O165" i="31" s="1"/>
  <c r="P165" i="31" s="1"/>
  <c r="F166" i="31"/>
  <c r="L166" i="31" s="1"/>
  <c r="O166" i="31" s="1"/>
  <c r="P166" i="31" s="1"/>
  <c r="Q166" i="31" s="1"/>
  <c r="F168" i="31"/>
  <c r="L168" i="31" s="1"/>
  <c r="O168" i="31" s="1"/>
  <c r="P168" i="31" s="1"/>
  <c r="Q168" i="31" s="1"/>
  <c r="F169" i="31"/>
  <c r="L169" i="31" s="1"/>
  <c r="O169" i="31" s="1"/>
  <c r="F171" i="31"/>
  <c r="L171" i="31" s="1"/>
  <c r="O171" i="31" s="1"/>
  <c r="F164" i="31"/>
  <c r="L164" i="31" s="1"/>
  <c r="O164" i="31" s="1"/>
  <c r="F172" i="31"/>
  <c r="L172" i="31" s="1"/>
  <c r="O172" i="31" s="1"/>
  <c r="F173" i="31"/>
  <c r="L173" i="31" s="1"/>
  <c r="O173" i="31" s="1"/>
  <c r="F163" i="31"/>
  <c r="L163" i="31" s="1"/>
  <c r="O163" i="31" s="1"/>
  <c r="O175" i="31" s="1"/>
  <c r="F170" i="31"/>
  <c r="L170" i="31" s="1"/>
  <c r="O170" i="31" s="1"/>
  <c r="F174" i="31"/>
  <c r="L174" i="31" s="1"/>
  <c r="O174" i="31" s="1"/>
  <c r="F167" i="31"/>
  <c r="L167" i="31" s="1"/>
  <c r="O167" i="31" s="1"/>
  <c r="P167" i="31" s="1"/>
  <c r="Q167" i="31" s="1"/>
  <c r="L175" i="31"/>
  <c r="D191" i="31"/>
  <c r="H171" i="31"/>
  <c r="H164" i="31"/>
  <c r="H169" i="31"/>
  <c r="H172" i="31"/>
  <c r="H170" i="31"/>
  <c r="H168" i="31"/>
  <c r="H174" i="31"/>
  <c r="H167" i="31"/>
  <c r="H166" i="31"/>
  <c r="H165" i="31"/>
  <c r="H163" i="31"/>
  <c r="H173" i="31"/>
  <c r="E206" i="5"/>
  <c r="E196" i="5" s="1"/>
  <c r="E197" i="5" s="1"/>
  <c r="E199" i="5" s="1"/>
  <c r="E201" i="5" s="1"/>
  <c r="E204" i="5" s="1"/>
  <c r="D209" i="31" l="1"/>
  <c r="Q165" i="31"/>
  <c r="Q175" i="31" s="1"/>
  <c r="Q176" i="31" s="1"/>
  <c r="D199" i="31" s="1"/>
  <c r="D213" i="31" s="1"/>
  <c r="P175" i="31"/>
  <c r="D207" i="31"/>
  <c r="E186" i="31"/>
  <c r="D78" i="24"/>
  <c r="D80" i="24" s="1"/>
  <c r="D88" i="23"/>
  <c r="D90" i="23" s="1"/>
  <c r="D218" i="5"/>
  <c r="E202" i="31" l="1"/>
  <c r="D214" i="31" s="1"/>
  <c r="D215" i="31"/>
  <c r="D226" i="31" s="1"/>
  <c r="D229" i="31" l="1"/>
  <c r="D230" i="31" s="1"/>
  <c r="D228" i="31"/>
  <c r="D234" i="5"/>
  <c r="D232" i="5"/>
  <c r="E102" i="33" s="1"/>
  <c r="E103" i="33" s="1" a="1"/>
  <c r="E103" i="33" s="1"/>
  <c r="E192" i="31"/>
  <c r="E193" i="31" s="1"/>
  <c r="E195" i="31" s="1"/>
  <c r="E197" i="31" s="1"/>
  <c r="E200" i="31" s="1"/>
  <c r="H5" i="36"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<sst xmlns="http://schemas.openxmlformats.org/spreadsheetml/2006/main" count="2971" uniqueCount="1980">
  <si>
    <t>Projektname</t>
  </si>
  <si>
    <t>Investitionsstyp</t>
  </si>
  <si>
    <t>Steuerbarkeit und Grösse</t>
  </si>
  <si>
    <t>Kraftwerkstyp</t>
  </si>
  <si>
    <t>Typ Abrechnungsjahr</t>
  </si>
  <si>
    <t>Jahr Baustart</t>
  </si>
  <si>
    <t>Jahr Inbetriebnahme</t>
  </si>
  <si>
    <t>Jahr Konzessionsende</t>
  </si>
  <si>
    <t>CHF</t>
  </si>
  <si>
    <t>MWh</t>
  </si>
  <si>
    <t>CHF/MWh</t>
  </si>
  <si>
    <t>Anrechenbare Investitionen</t>
  </si>
  <si>
    <t>Vergütungssatz</t>
  </si>
  <si>
    <t>Terminmarktabsicherung</t>
  </si>
  <si>
    <t>Systemdienstleistungsmarkt</t>
  </si>
  <si>
    <t>Herkunftsnachweise</t>
  </si>
  <si>
    <t>Winterreserve</t>
  </si>
  <si>
    <t>Bauphase in Jahren</t>
  </si>
  <si>
    <t>Konzessionsdauer = Betriebsphase in Jahren</t>
  </si>
  <si>
    <t>gMP Laufzeit in Jahren</t>
  </si>
  <si>
    <t>Marktpreisindex</t>
  </si>
  <si>
    <t>Jahresbandpreis in CHF/MWh</t>
  </si>
  <si>
    <t>Neuanlage</t>
  </si>
  <si>
    <t>Erhebliche Erweiterung</t>
  </si>
  <si>
    <t>Erhebliche Erneuerung</t>
  </si>
  <si>
    <t>Differenzierung Steuerbarkeit und Grösse</t>
  </si>
  <si>
    <t>Laufwasserkraftwerk</t>
  </si>
  <si>
    <t>Speicherkraftwerk</t>
  </si>
  <si>
    <t>Pumpspeicherkraftwerk</t>
  </si>
  <si>
    <t>Kalenderjahr</t>
  </si>
  <si>
    <t>Hydrologisches Jahr</t>
  </si>
  <si>
    <t>START, DÉBUT, INIZIO</t>
  </si>
  <si>
    <t>d</t>
  </si>
  <si>
    <t>CAPEX</t>
  </si>
  <si>
    <t>Dati generali</t>
  </si>
  <si>
    <t>Généralités</t>
  </si>
  <si>
    <t>Allgemein</t>
  </si>
  <si>
    <t>Ergebnis</t>
  </si>
  <si>
    <t>Sprache</t>
  </si>
  <si>
    <t>f</t>
  </si>
  <si>
    <t>i</t>
  </si>
  <si>
    <t>Annuität in CHF</t>
  </si>
  <si>
    <t>50</t>
  </si>
  <si>
    <t>80</t>
  </si>
  <si>
    <t>40</t>
  </si>
  <si>
    <t>30</t>
  </si>
  <si>
    <t>…</t>
  </si>
  <si>
    <t>1</t>
  </si>
  <si>
    <t>0</t>
  </si>
  <si>
    <t>00</t>
  </si>
  <si>
    <t>001</t>
  </si>
  <si>
    <t>002</t>
  </si>
  <si>
    <t>003</t>
  </si>
  <si>
    <t>004</t>
  </si>
  <si>
    <t>005</t>
  </si>
  <si>
    <t>Bewertungsjahr</t>
  </si>
  <si>
    <t>Anzahl Förderjahre</t>
  </si>
  <si>
    <t>HKN-Preis</t>
  </si>
  <si>
    <t>Anteil der Termin-Absicherung der erwarteten Produktion</t>
  </si>
  <si>
    <t>Schweizweit gemittelter Gewinnsteuersatz</t>
  </si>
  <si>
    <t>SDL</t>
  </si>
  <si>
    <t>PRL</t>
  </si>
  <si>
    <t>SRL+</t>
  </si>
  <si>
    <t>SRL-</t>
  </si>
  <si>
    <t>TRL+</t>
  </si>
  <si>
    <t>TRL-</t>
  </si>
  <si>
    <t>Primär</t>
  </si>
  <si>
    <t>Sekundär</t>
  </si>
  <si>
    <t>Tertiär</t>
  </si>
  <si>
    <t>Gesamte Kosten Vorhaltung und Abruf</t>
  </si>
  <si>
    <t>Anteil CH-Wasserkraft</t>
  </si>
  <si>
    <t>Verteilschlüssel</t>
  </si>
  <si>
    <r>
      <t>Erlös pro MW</t>
    </r>
    <r>
      <rPr>
        <vertAlign val="subscript"/>
        <sz val="10"/>
        <color theme="1"/>
        <rFont val="Arial"/>
        <family val="2"/>
      </rPr>
      <t>installiert</t>
    </r>
  </si>
  <si>
    <t>NST</t>
  </si>
  <si>
    <r>
      <t>nicht steuerbar und &lt;3 MW (</t>
    </r>
    <r>
      <rPr>
        <b/>
        <sz val="10"/>
        <color theme="1"/>
        <rFont val="Arial"/>
        <family val="2"/>
      </rPr>
      <t>NST</t>
    </r>
    <r>
      <rPr>
        <sz val="10"/>
        <color theme="1"/>
        <rFont val="Arial"/>
        <family val="2"/>
      </rPr>
      <t>)</t>
    </r>
  </si>
  <si>
    <t>ST</t>
  </si>
  <si>
    <r>
      <t>steuerbar &gt;=3 MW (</t>
    </r>
    <r>
      <rPr>
        <b/>
        <sz val="10"/>
        <color theme="1"/>
        <rFont val="Arial"/>
        <family val="2"/>
      </rPr>
      <t>ST</t>
    </r>
    <r>
      <rPr>
        <sz val="10"/>
        <color theme="1"/>
        <rFont val="Arial"/>
        <family val="2"/>
      </rPr>
      <t>)</t>
    </r>
  </si>
  <si>
    <t>PU</t>
  </si>
  <si>
    <r>
      <t>Pumpspeicher- und Umwälzkraftwerk (</t>
    </r>
    <r>
      <rPr>
        <b/>
        <sz val="10"/>
        <color theme="1"/>
        <rFont val="Arial"/>
        <family val="2"/>
      </rPr>
      <t>PU</t>
    </r>
    <r>
      <rPr>
        <sz val="10"/>
        <color theme="1"/>
        <rFont val="Arial"/>
        <family val="2"/>
      </rPr>
      <t>)</t>
    </r>
  </si>
  <si>
    <t>RMP</t>
  </si>
  <si>
    <t>Gesamte Energiemenge aller CH Speicherwasserkraftwerke …</t>
  </si>
  <si>
    <t>… ab einer Speicherkapazität von</t>
  </si>
  <si>
    <t>Vorhaltemenge für die ganze CH Wasserkraftreserve</t>
  </si>
  <si>
    <t>Anteil Vorhaltemenge für die ganze CH Wasserkraftreserve</t>
  </si>
  <si>
    <t>Ansatz für Pauschalabgeltung</t>
  </si>
  <si>
    <t>Traiding_Zeitraum</t>
  </si>
  <si>
    <t>DEBY
Maturity
2024</t>
  </si>
  <si>
    <t>Q1/2023 – Q3/2023</t>
  </si>
  <si>
    <t>Q4/2022 – Q3/2023</t>
  </si>
  <si>
    <t>Q4/2022</t>
  </si>
  <si>
    <t>Q4/2021 – Q3/2022</t>
  </si>
  <si>
    <t>Q1/2022 – Q3/2022</t>
  </si>
  <si>
    <t>Q4/2021</t>
  </si>
  <si>
    <t>Terminmarktpreis</t>
  </si>
  <si>
    <t>von</t>
  </si>
  <si>
    <t>bis</t>
  </si>
  <si>
    <t>Kontrolle</t>
  </si>
  <si>
    <t>Monatsmittel/-ende</t>
  </si>
  <si>
    <t>Monatsmittel</t>
  </si>
  <si>
    <t>Währung</t>
  </si>
  <si>
    <t>Europa - EUR 1.-</t>
  </si>
  <si>
    <t>Standortkanton der Anlage</t>
  </si>
  <si>
    <t>Ansprechperson: Vorname, Name</t>
  </si>
  <si>
    <t>e-mail</t>
  </si>
  <si>
    <t>Tel.</t>
  </si>
  <si>
    <t>resultierender SDL-Typ</t>
  </si>
  <si>
    <t>Anzahl Baujahre</t>
  </si>
  <si>
    <t>Restlaufzeit Konzession</t>
  </si>
  <si>
    <t>Technische Angaben</t>
  </si>
  <si>
    <t>vor Investition</t>
  </si>
  <si>
    <t>nach Investition</t>
  </si>
  <si>
    <t xml:space="preserve">nach Inv. - vor Inv. </t>
  </si>
  <si>
    <t>Mechanische Bruttoleistung</t>
  </si>
  <si>
    <t>Installierte Leistung Turbinen</t>
  </si>
  <si>
    <t>MW</t>
  </si>
  <si>
    <t>Produktion</t>
  </si>
  <si>
    <t>HKN-Produktion</t>
  </si>
  <si>
    <r>
      <t>HKN-Produktion: = Produktion</t>
    </r>
    <r>
      <rPr>
        <vertAlign val="subscript"/>
        <sz val="10"/>
        <color theme="1"/>
        <rFont val="Arial"/>
        <family val="2"/>
      </rPr>
      <t>netto</t>
    </r>
    <r>
      <rPr>
        <sz val="10"/>
        <color theme="1"/>
        <rFont val="Arial"/>
        <family val="2"/>
      </rPr>
      <t xml:space="preserve"> - (Zubringerpumpenstrom * Pumpenwirkungsgrad) - (Umwälzpumpenstrom * Pumpenwirkungsgrad)</t>
    </r>
    <r>
      <rPr>
        <sz val="10"/>
        <color rgb="FFFF0000"/>
        <rFont val="Arial"/>
        <family val="2"/>
      </rPr>
      <t xml:space="preserve"> </t>
    </r>
    <r>
      <rPr>
        <sz val="10"/>
        <rFont val="Arial"/>
        <family val="2"/>
      </rPr>
      <t>= Nettoproduktion aus natürlichen Zuflüssen</t>
    </r>
  </si>
  <si>
    <t>HKN</t>
  </si>
  <si>
    <t>die Herkunftsnachweise die für die erweiterte Anlage ausgestellt werden, abzüglich der Herkunftsnachweise, die für die Anlage vor der Erweiterung ausgestellt worden wären</t>
  </si>
  <si>
    <t>die Herkunftsnachweise, die für die erneuerte Anlage ausgestellt werden, abzüglich der Herkunftsnachweise, die für die nicht erneuerten Anlagenteile ausgestellt worden wären.</t>
  </si>
  <si>
    <t>Zubringer-Pumpenstrom</t>
  </si>
  <si>
    <t>Umwälz-Pumpenstrom</t>
  </si>
  <si>
    <t>CHF/a</t>
  </si>
  <si>
    <r>
      <t xml:space="preserve">vom Referenzmarktpreis nach Art.15 </t>
    </r>
    <r>
      <rPr>
        <sz val="10"/>
        <rFont val="Arial"/>
        <family val="2"/>
      </rPr>
      <t>EnFV</t>
    </r>
  </si>
  <si>
    <t>Referenzmarktpreis (RMP) nach Art.15 EnFV</t>
  </si>
  <si>
    <t>Gesamte Kosten Vorhaltung und Abruf in CHF</t>
  </si>
  <si>
    <t>Total</t>
  </si>
  <si>
    <t>entsprechen 2% der anrechenbaren Investitionen</t>
  </si>
  <si>
    <t>anrechenbare Betriebskosten</t>
  </si>
  <si>
    <t>Beschreibung</t>
  </si>
  <si>
    <t>Energiebewirtschaftungs- und -verwertungskosten</t>
  </si>
  <si>
    <t>Rp/kWh</t>
  </si>
  <si>
    <t>Anspruch</t>
  </si>
  <si>
    <t>Anspruch haben nur Anlagen, welche nach der Investition eine mechanische Bruttoleistung &gt; 3 MW haben.</t>
  </si>
  <si>
    <t>EnFV Anhang 6.1, Ziffer 4.1.1, Buchstabe c</t>
  </si>
  <si>
    <t>Wasserzins</t>
  </si>
  <si>
    <t>Kosten für die Elektrizität für Zubringerpumpen</t>
  </si>
  <si>
    <t>Kosten für die Elektrizität für Umwälzpumpen</t>
  </si>
  <si>
    <t>Erlös aus Day-Ahead-Verkauf</t>
  </si>
  <si>
    <t>Mehrerlös aus Investition</t>
  </si>
  <si>
    <t>Abgaben und Leistungen an das Gemeinwesen</t>
  </si>
  <si>
    <t>Erlös Absicherung am Terminmarkt</t>
  </si>
  <si>
    <t>Nettoproduktion</t>
  </si>
  <si>
    <t>Umwälzproduktion</t>
  </si>
  <si>
    <t>Konzessionsenergie</t>
  </si>
  <si>
    <t>Ersatz-/Einstau-/Austauschenergie</t>
  </si>
  <si>
    <t>Abzusichernde Produktion</t>
  </si>
  <si>
    <t>MWh/a</t>
  </si>
  <si>
    <t>Erwartungswert der abzusichernden Produktion</t>
  </si>
  <si>
    <t>Abzusichernder Anteil</t>
  </si>
  <si>
    <t>Durchschnittlicher Absicherungspreis Terminmarkt</t>
  </si>
  <si>
    <t>Durchschnittlicher Erlös Day-Ahead-Markt</t>
  </si>
  <si>
    <t>Bewertung für abzusichernde Produktion</t>
  </si>
  <si>
    <t>Mehrerlös Absicherung am Terminmarkt</t>
  </si>
  <si>
    <t>CHF/MW</t>
  </si>
  <si>
    <t>zusätzlich installierte Leistung aus Investition</t>
  </si>
  <si>
    <t>Spezifischer Erlös</t>
  </si>
  <si>
    <t>Mehrkosten für die Elektrizität für Umwälzpumpen</t>
  </si>
  <si>
    <t>Mehrerlös Systemdienstleistungen</t>
  </si>
  <si>
    <t>HKN-Mehrproduktion aus Investition</t>
  </si>
  <si>
    <t>Erlös Winterreserve</t>
  </si>
  <si>
    <t>Investitionsbedingte zusätzliche Speicherkapazität</t>
  </si>
  <si>
    <t>Zu vergütende investitionsbedingte zusätzliche Speicherkapazität</t>
  </si>
  <si>
    <t>Mehrerlös Winterreserve</t>
  </si>
  <si>
    <t>Mehrerlös Herkunftsnachweise</t>
  </si>
  <si>
    <t>*Unter Eigenverbrauch wird der unmittelbare Verbrauch des Stroms zeitgleich mit der Produktion am Ort der Produktion oder die zeitgleiche Speicherung und der spätere Verbrauch am Ort der Produktion verstanden.</t>
  </si>
  <si>
    <t>Kosten investitionsbedingter Pumpenstrom (unter Annahme Projekt wäre bereits realisiert)</t>
  </si>
  <si>
    <t>Preis investitionsbedingter Pumpenstrom (unter Annahme Projekt wäre bereits realisiert)</t>
  </si>
  <si>
    <t>Betriebskosten (ohne MwSt.)</t>
  </si>
  <si>
    <t>Übersteigender Teil</t>
  </si>
  <si>
    <t>Erlös Terminmarktabsicherung</t>
  </si>
  <si>
    <t>Erlös Systemdienstleistungsmarkt</t>
  </si>
  <si>
    <t>Erlös Herkunftsnachweise</t>
  </si>
  <si>
    <t>Abschreibungen (anr. Investition / investitionsgew. Nutzungsdauer)</t>
  </si>
  <si>
    <t>Kapitalkosten (EK + FK)</t>
  </si>
  <si>
    <t>Eigenkapitalkosten</t>
  </si>
  <si>
    <t>Fremdkapitalkosten</t>
  </si>
  <si>
    <t>Eigenkapitalanteil</t>
  </si>
  <si>
    <t>Fremtkapitalanteil</t>
  </si>
  <si>
    <t>Steuern EK</t>
  </si>
  <si>
    <t>Kosten Steuern EK</t>
  </si>
  <si>
    <t>Kapitalkosten (Annuität ohne MwSt.)</t>
  </si>
  <si>
    <t>Die jeweiligen Jahreskosten werden proportional zur Mehrproduktion auf die Monate verteilt</t>
  </si>
  <si>
    <t>Investitionsbedingte HKN-Mehrproduktion</t>
  </si>
  <si>
    <t>Erwartete HKN-Produktion im Inbetriebnahmejahr
→ nach Investition</t>
  </si>
  <si>
    <t>Neue Speicherkapazität</t>
  </si>
  <si>
    <t>Mehrproduktion aus Investition
(inkl neue Speicherkapazität)</t>
  </si>
  <si>
    <t>Mehrerlös</t>
  </si>
  <si>
    <t>Kosten EK Steuern</t>
  </si>
  <si>
    <t>Die jeweiligen Jahreserlöse werden proportional zur Mehrproduktion auf die Monate verteilt</t>
  </si>
  <si>
    <t>Kennzahlen</t>
  </si>
  <si>
    <t>Referenz-Marktpreis</t>
  </si>
  <si>
    <t>Kosten Total</t>
  </si>
  <si>
    <t>Erlös aus Absicherung am Terminmarkt</t>
  </si>
  <si>
    <t>gleitende Marktprämie</t>
  </si>
  <si>
    <t>Gewinn- und Verlustrechnung</t>
  </si>
  <si>
    <t>Ertrag</t>
  </si>
  <si>
    <t>Aufwand</t>
  </si>
  <si>
    <t>EBITDA</t>
  </si>
  <si>
    <t>Abschreibungen</t>
  </si>
  <si>
    <t>Abschreibungsdauer in Jahren</t>
  </si>
  <si>
    <t>Investitionsgewichtete Nutzungsdauer</t>
  </si>
  <si>
    <t>Jahre</t>
  </si>
  <si>
    <t>EBIT</t>
  </si>
  <si>
    <t>EBT</t>
  </si>
  <si>
    <t>Eigenkapitalgewinnsteuer</t>
  </si>
  <si>
    <t xml:space="preserve">Gewinnsteuer auf übersteigendem Anteil </t>
  </si>
  <si>
    <t>EAT</t>
  </si>
  <si>
    <t>Gewinn nach Eigenkapitalkosten</t>
  </si>
  <si>
    <t>Beim Projekt verbleibender übersteigender Anteil</t>
  </si>
  <si>
    <t>Kapitalkosten</t>
  </si>
  <si>
    <t>Betriebskosten</t>
  </si>
  <si>
    <t>Zurückbahaltener übersteigender Anteil</t>
  </si>
  <si>
    <t xml:space="preserve">Gewinnsteuer auf zurückbehaltenem übersteigendem Anteil </t>
  </si>
  <si>
    <t>Jahreskosten aus Investition</t>
  </si>
  <si>
    <t>Erlös aus Investition</t>
  </si>
  <si>
    <t>Mehrproduktion aus Investition (ohne neue Speicherkapazität)</t>
  </si>
  <si>
    <t>Gleitende Marktprämie spezifisch</t>
  </si>
  <si>
    <t>Prozentsatz</t>
  </si>
  <si>
    <t>Mehrerlös aus Investition (nur Day-Ahead)</t>
  </si>
  <si>
    <t>Gesamterlös aus Investition (nur Day-Ahead)</t>
  </si>
  <si>
    <t>Investitionsbedingte Kosten für Betrieb</t>
  </si>
  <si>
    <t>Investitionsbedingte Kosten für Energiebewirtschaftung und -verwertung</t>
  </si>
  <si>
    <t>Investitionsbedingte Kosten aus Abgaben und Leistungen an das Gemeinwesen</t>
  </si>
  <si>
    <t>Investitionsbedingte Kosten für Steuern</t>
  </si>
  <si>
    <t>Investitionsbedingter Erlös aus Systemdienstleistungen</t>
  </si>
  <si>
    <t>Investitionsbedingter Erlös aus Herkunftsnachweisen (HKN)</t>
  </si>
  <si>
    <t>Investitionsbedingter Erlös aus Winterreserve</t>
  </si>
  <si>
    <t>Durchschnittliche Betriebskosten vor Investition</t>
  </si>
  <si>
    <t>Durchschnittliche Abgaben und Leistungen vor Investition</t>
  </si>
  <si>
    <t>anrechenbare Energiebewirtschaftungs- und Verwertungskosten</t>
  </si>
  <si>
    <t>Mehrkrosten für die Elektrizität für Zubringerpumpen</t>
  </si>
  <si>
    <t>Mehrerlös aus Day-Ahead-Verkauf</t>
  </si>
  <si>
    <t>Erlös Day-Ahead (spezifisch)</t>
  </si>
  <si>
    <t>Erlös Day-Ahead (absolut)</t>
  </si>
  <si>
    <t>Jahr</t>
  </si>
  <si>
    <t>Startniveau</t>
  </si>
  <si>
    <t>beibehalten bis und mit Jahr</t>
  </si>
  <si>
    <t>während x Jahren steigen/fallen</t>
  </si>
  <si>
    <t>auf Niveau X</t>
  </si>
  <si>
    <t>auf Niveau Y</t>
  </si>
  <si>
    <t>Index</t>
  </si>
  <si>
    <t>Basepreis in CHF/MWh</t>
  </si>
  <si>
    <t>Verkauf zum Referenzmarktpreis</t>
  </si>
  <si>
    <t>Day-Ahead-Verkauf</t>
  </si>
  <si>
    <t>- Aufwände</t>
  </si>
  <si>
    <t>Abgaben und Leistungen an das Gemeinwesen (inkl. Wasserzinsen)</t>
  </si>
  <si>
    <t>Abgaben und Leistungen an das Gemeinwesen (inkl. Wasserzins)</t>
  </si>
  <si>
    <t>- Abschreibungen</t>
  </si>
  <si>
    <t>steuerbar &amp; &gt; 3 MWbr</t>
  </si>
  <si>
    <t>Terminpreis für 80% Absicherung der Nettoproduktion in CHF/MWh</t>
  </si>
  <si>
    <t>+Erträge</t>
  </si>
  <si>
    <t>- Fremdkapitalkosten</t>
  </si>
  <si>
    <t>- Eigenkapitalgewinnsteuer</t>
  </si>
  <si>
    <t xml:space="preserve">- Gewinnsteuer auf übersteigendem Anteil </t>
  </si>
  <si>
    <t>- Eigenkapitalkosten</t>
  </si>
  <si>
    <t>Mehrproduktion aus Investition (ohne neue Speicherkapazität) in MWh</t>
  </si>
  <si>
    <t>gleitende Marktprämie
(+ vom NZF zum Projekt, - vom Projekt zum NZF)</t>
  </si>
  <si>
    <t>CHF, + vom NZF zum Projekt, - vom Projekt zum NZF</t>
  </si>
  <si>
    <t>+ vom Netzzuschlagsfonds (NZF) zum Projekt, - vom Projekt zum NZF</t>
  </si>
  <si>
    <t>i tributi e le prestazioni agli enti pubblici</t>
  </si>
  <si>
    <t>conto economico</t>
  </si>
  <si>
    <t>ricavo sul mercato day-ahead</t>
  </si>
  <si>
    <t>Recettes générées par la réserve d’hiver</t>
  </si>
  <si>
    <t>Ricavo dalla riserva invernale</t>
  </si>
  <si>
    <t>Ricavo dalle garanzie di origine</t>
  </si>
  <si>
    <t>centrale ad acqua fluente</t>
  </si>
  <si>
    <t>premio di mercato fluttuante</t>
  </si>
  <si>
    <t>garanzie di origine (GO)</t>
  </si>
  <si>
    <t>energia di concessione</t>
  </si>
  <si>
    <t>PRP</t>
  </si>
  <si>
    <t>centrale ad accumulazione con pompaggio</t>
  </si>
  <si>
    <t>PSRS</t>
  </si>
  <si>
    <t>centrale ad accumulazione</t>
  </si>
  <si>
    <t>chiave di ripartizione</t>
  </si>
  <si>
    <t>riserva invernale</t>
  </si>
  <si>
    <t>I</t>
  </si>
  <si>
    <t>Investitionsbeiträge für Klein- und Grosswasserkraftanlagen</t>
  </si>
  <si>
    <t>Contributi d'investimento per piccoli e grandi impianti idroelettrici</t>
  </si>
  <si>
    <t>Vorlage zur Auflistung der Investitionskosten (als Ergänzung zur Wegleitung zur Auflistung der Investitionskosten)</t>
  </si>
  <si>
    <t>Modello per l'elenco dei costi d'investimento (suplemento alla direttiva per l'elenco dei costi d'investimento)</t>
  </si>
  <si>
    <t>Version 2.3 vom 18. Juli 2023</t>
  </si>
  <si>
    <t>Version 2.3 du 18 juillet 2023</t>
  </si>
  <si>
    <t>Versione 2.3 del 18 luglio 2023</t>
  </si>
  <si>
    <t>Anno di messa in esercizio</t>
  </si>
  <si>
    <t>Jahr Ablauf der Konzession</t>
  </si>
  <si>
    <t>Anno scadenza concessione</t>
  </si>
  <si>
    <t>Restwertvereinbarung vorhanden (Art. 61 Abs. 4 EnFV)</t>
  </si>
  <si>
    <t>Accordo esistente sul valore residuo (art. 61 cpv. 4 OPEn)</t>
  </si>
  <si>
    <t>Reduktion IB in % (Art. 61 Abs. 4 EnFV)</t>
  </si>
  <si>
    <t>Riduzione CI in % (art. 61 cpv. 4 OPEn)</t>
  </si>
  <si>
    <t>Allgemeine Angaben</t>
  </si>
  <si>
    <t>Données générales</t>
  </si>
  <si>
    <t>Informazioni generali</t>
  </si>
  <si>
    <t>Projekttitel</t>
  </si>
  <si>
    <t>Titre du projet</t>
  </si>
  <si>
    <t>Titolo del progetto</t>
  </si>
  <si>
    <t>Datum Kostenschätzung</t>
  </si>
  <si>
    <t>Data della stima dei costi</t>
  </si>
  <si>
    <t>Neue Zeilen: Start / Einfügen / Blattzeilen einfügen,</t>
  </si>
  <si>
    <t>Nuova riga: Home / Inserisci / Inserisci righe foglio,</t>
  </si>
  <si>
    <t>dann bitte hier Formel kopieren</t>
  </si>
  <si>
    <t>poi copia qui la formula p.f.</t>
  </si>
  <si>
    <t>Bearbeitbare bzw. zu bearbeitende Zellen</t>
  </si>
  <si>
    <t>Celle modificabili risp. da modificare</t>
  </si>
  <si>
    <t>Summe i.o.</t>
  </si>
  <si>
    <t>Somme correcte</t>
  </si>
  <si>
    <t>Somma corretta</t>
  </si>
  <si>
    <t>Summen- oder Formelfehler</t>
  </si>
  <si>
    <t>Somme ou formule incorrecte</t>
  </si>
  <si>
    <t>Somma o formula erronea</t>
  </si>
  <si>
    <t>Investitionskosten [CHF exkl. MWSt]</t>
  </si>
  <si>
    <t>Costi d’investimento [CHF IVA escl.]</t>
  </si>
  <si>
    <t>Nutzungsdauer</t>
  </si>
  <si>
    <t>Periodo d'utilizzazione</t>
  </si>
  <si>
    <t>Description</t>
  </si>
  <si>
    <t>Descrizione</t>
  </si>
  <si>
    <t>Referenzplan Nr.</t>
  </si>
  <si>
    <t>Numero di riferimento del progetto</t>
  </si>
  <si>
    <t>Einheit</t>
  </si>
  <si>
    <t>Unité</t>
  </si>
  <si>
    <t>Unità</t>
  </si>
  <si>
    <t>Menge</t>
  </si>
  <si>
    <t>Quantité</t>
  </si>
  <si>
    <t>Quantità</t>
  </si>
  <si>
    <t>Einheitspreis [CHF]</t>
  </si>
  <si>
    <t>Prix unitaire [CHF]</t>
  </si>
  <si>
    <t>Prezzo unitario [CHF]</t>
  </si>
  <si>
    <t>Summe Investitions-kosten Total [CHF]</t>
  </si>
  <si>
    <t>Totale dei costi 
d’investimento [CHF]</t>
  </si>
  <si>
    <t>Anrechenbare Investitions-kosten [CHF]</t>
  </si>
  <si>
    <t>Costi d’investimento computabili [CHF]</t>
  </si>
  <si>
    <t xml:space="preserve">Nicht anrechenbare Investitions-kosten [CHF]  </t>
  </si>
  <si>
    <t>Costi di investimento non computabili [CHF]</t>
  </si>
  <si>
    <t>Kontrollfeld Summen anrechenbar / nicht anrechenbar</t>
  </si>
  <si>
    <t xml:space="preserve">Controllo somme 
computabili / non computabili </t>
  </si>
  <si>
    <t>Kontrollfeld Summenprodukt Menge x Einheitspreis</t>
  </si>
  <si>
    <t>Contrôle somme des produits (quantité x prix unitaire)</t>
  </si>
  <si>
    <t xml:space="preserve">Controllo prodotto della somma quantità x prezzo unitario </t>
  </si>
  <si>
    <t>T</t>
  </si>
  <si>
    <t>TOTAL</t>
  </si>
  <si>
    <t>TOTALE</t>
  </si>
  <si>
    <t>Erstellungskosten</t>
  </si>
  <si>
    <t>Coûts de construction</t>
  </si>
  <si>
    <t>Costi di costruzione</t>
  </si>
  <si>
    <t>Stauanlage (Staumauern, Staudämme oder Wehranlagen)</t>
  </si>
  <si>
    <t>Ouvrage de retenue (barrage, ouvrage en remblai ou barrage mobile)</t>
  </si>
  <si>
    <t>Impianto di accumulazione (dighe in calcestruzzo, dighe in materiale sciolto o traverse mobili)</t>
  </si>
  <si>
    <t>Stauanlage (Bau)</t>
  </si>
  <si>
    <t>Ouvrage de retenue (construction)</t>
  </si>
  <si>
    <t>Impianti di accumulazione (costruzione)</t>
  </si>
  <si>
    <t>Stollen und Schächte (Erschliessung)</t>
  </si>
  <si>
    <t>Galeries et puits (accès)</t>
  </si>
  <si>
    <t>Cunicoli e pozzi (vie di trasporto e accesso)</t>
  </si>
  <si>
    <t>Kanäle (Nebenanlagen)</t>
  </si>
  <si>
    <t>Canaux (ouvrages annexes)</t>
  </si>
  <si>
    <t>Canali (impianti accessori)</t>
  </si>
  <si>
    <t>Freispiegelleitung (Nebenanlagen)</t>
  </si>
  <si>
    <t>Conduite à écoulement libre (ouvrages annexes)</t>
  </si>
  <si>
    <t>Condotte a pelo libero (impianti accessori)</t>
  </si>
  <si>
    <t>Stollen Wasserweg (Nebenanlagen)</t>
  </si>
  <si>
    <t>Cunicoli per le vie d’acqua (impianti accessori)</t>
  </si>
  <si>
    <t>Schächte Wasserweg (Nebenanlagen)</t>
  </si>
  <si>
    <t>Pozzi per le vie d’acqua (impianti accessori)</t>
  </si>
  <si>
    <t>Druckrohrleitung (Nebenanlagen)</t>
  </si>
  <si>
    <t>Condotta forzata (impianti accessori)</t>
  </si>
  <si>
    <t>Fassungsbauwerk</t>
  </si>
  <si>
    <t>Ouvrage de prise</t>
  </si>
  <si>
    <t>Prese</t>
  </si>
  <si>
    <t>Rechen und/oder Rechenreinigungsanlage</t>
  </si>
  <si>
    <t xml:space="preserve">Griglie e/o sgrigliatori </t>
  </si>
  <si>
    <t>Absperrorg. (Schützen, Schieber, Drosselkl., Kugelschieber)</t>
  </si>
  <si>
    <t>Organi chiusura (paratoie, valvole, valvole e a sfera)</t>
  </si>
  <si>
    <t>Hebezeuge und Hilfseinrichtungen</t>
  </si>
  <si>
    <t xml:space="preserve">Dispositif de levage et équipement auxiliaire </t>
  </si>
  <si>
    <t>Elevatori e impianti ausiliari</t>
  </si>
  <si>
    <t>Eigenbedarfs- und Notstromanlagen</t>
  </si>
  <si>
    <t>Impianti a corrente elettrica per uso proprio e d’emergenza</t>
  </si>
  <si>
    <t>Baunebengewerbe</t>
  </si>
  <si>
    <t>Second œuvre</t>
  </si>
  <si>
    <t>Rami accessori dell’edilizia</t>
  </si>
  <si>
    <t xml:space="preserve">Ersatzteile </t>
  </si>
  <si>
    <t>Pièces de rechange</t>
  </si>
  <si>
    <t xml:space="preserve">Pezzi di ricambio </t>
  </si>
  <si>
    <t>Triebwasserweg (ober- und unterwasser)/Förderwasserweg</t>
  </si>
  <si>
    <t>Vie di derivazione (per l’acqua di monte e di scarico)</t>
  </si>
  <si>
    <t>Entsanderanlage und/oder Kiesfang</t>
  </si>
  <si>
    <t>Dessableur et/ou piège à gravier</t>
  </si>
  <si>
    <t>Dissabbiatore e/o sghiaiatore</t>
  </si>
  <si>
    <t>Griglie e/o sgrigliatori</t>
  </si>
  <si>
    <t>Oberwasserkanal</t>
  </si>
  <si>
    <t>Canal d’amenée</t>
  </si>
  <si>
    <t>Canali per l’acqua di monte</t>
  </si>
  <si>
    <t>Freispiegelleitung</t>
  </si>
  <si>
    <t>Conduite à écoulement libre</t>
  </si>
  <si>
    <t>Condotte a pelo libero</t>
  </si>
  <si>
    <t>Freispiegelstollen</t>
  </si>
  <si>
    <t>Galerie à écoulement libre</t>
  </si>
  <si>
    <t>Canali a pelo libero</t>
  </si>
  <si>
    <t>Druckstollen</t>
  </si>
  <si>
    <t>Galerie en charge</t>
  </si>
  <si>
    <t>Gallerie in pressione</t>
  </si>
  <si>
    <t>Wasserschlösser</t>
  </si>
  <si>
    <t>Cheminées d’équilibre</t>
  </si>
  <si>
    <t>Pozzi piezometrici</t>
  </si>
  <si>
    <t>Druckschächte</t>
  </si>
  <si>
    <t xml:space="preserve">Puits en charge </t>
  </si>
  <si>
    <t>Pozzi in pressione</t>
  </si>
  <si>
    <t>Druckrohrleitung</t>
  </si>
  <si>
    <t>Condotte forzate</t>
  </si>
  <si>
    <t>Unterwasserkanal</t>
  </si>
  <si>
    <t>Canal de fuite</t>
  </si>
  <si>
    <t>Canali per l’acqua di scarico</t>
  </si>
  <si>
    <t>Kavernen (ohne Zentralenkaverne)</t>
  </si>
  <si>
    <t>Cavernes (sauf caverne de la centrale)</t>
  </si>
  <si>
    <t>Caverne (esclusa la caverna per la centrale)</t>
  </si>
  <si>
    <t>Ausgleichsbecken</t>
  </si>
  <si>
    <t>Bassin de compensation</t>
  </si>
  <si>
    <t>Bacini di compensazione</t>
  </si>
  <si>
    <t>Impianti a corrente elettrica uso proprio e d’emergenza</t>
  </si>
  <si>
    <t>Ersatzteile</t>
  </si>
  <si>
    <t>Pezzi di ricambio</t>
  </si>
  <si>
    <t>Zentrale</t>
  </si>
  <si>
    <t>Centrale</t>
  </si>
  <si>
    <t>Krafthaus (oberirdisch)</t>
  </si>
  <si>
    <t>Centrale di superficie</t>
  </si>
  <si>
    <t>Zentralenkaverne</t>
  </si>
  <si>
    <t>Caverne de la centrale</t>
  </si>
  <si>
    <t>Centrale sotterranea</t>
  </si>
  <si>
    <t>Turbinen</t>
  </si>
  <si>
    <t>Turbines</t>
  </si>
  <si>
    <t>Turbine</t>
  </si>
  <si>
    <t>Pumpen</t>
  </si>
  <si>
    <t>Pompes</t>
  </si>
  <si>
    <t>Pompe</t>
  </si>
  <si>
    <t>Generatoren/Motoren</t>
  </si>
  <si>
    <t>Générateurs/moteurs</t>
  </si>
  <si>
    <t>Generatori/motori</t>
  </si>
  <si>
    <t>Schaltanlagen Spannungsebene Generatoren/Motoren</t>
  </si>
  <si>
    <t>Impianti di distribuzione tensione generatori e motori</t>
  </si>
  <si>
    <t xml:space="preserve">Transformatoren </t>
  </si>
  <si>
    <t>Transformateurs</t>
  </si>
  <si>
    <t xml:space="preserve">Trasformatori </t>
  </si>
  <si>
    <t>Kraftwerksleittechnik</t>
  </si>
  <si>
    <t>Système de commande de la centrale</t>
  </si>
  <si>
    <t>Sistema di controllo per centrali</t>
  </si>
  <si>
    <t>Impianti a corrente elettrica uso proprio e di emergenza</t>
  </si>
  <si>
    <t>Hochspannungsausrüstung</t>
  </si>
  <si>
    <t>Equipaggiamento ad alta tensione</t>
  </si>
  <si>
    <t>Schaltanlagen auf Spannungsebene Netzanschluss</t>
  </si>
  <si>
    <t xml:space="preserve">Impianti distribuzione tensione di allacciamento alla rete </t>
  </si>
  <si>
    <t>Elektrische Schutzeinrichtungen</t>
  </si>
  <si>
    <t>Dispositifs de protection</t>
  </si>
  <si>
    <t>Impianti di protezione elettrici</t>
  </si>
  <si>
    <t>Sonstige Anlagen</t>
  </si>
  <si>
    <t>Autres installations</t>
  </si>
  <si>
    <t>Altri impianti</t>
  </si>
  <si>
    <t>Schleusen</t>
  </si>
  <si>
    <t>Conche di navigazione</t>
  </si>
  <si>
    <t>Fischauf- und Abstiegsanlagen</t>
  </si>
  <si>
    <t>Impianti per la risalita e la discesa dei pesci</t>
  </si>
  <si>
    <t>Bauten Transportwege u. Erschl. (Strassen, Brücken, Stützmauern, etc.)</t>
  </si>
  <si>
    <t>Costruzioni vie di trasporto e accesso (strade, ponti, muri di sostegno, ecc.)</t>
  </si>
  <si>
    <t xml:space="preserve">Seilbahnen </t>
  </si>
  <si>
    <t xml:space="preserve">Funivie </t>
  </si>
  <si>
    <t>Betriebsgebäude</t>
  </si>
  <si>
    <t>Stabili di esercizio</t>
  </si>
  <si>
    <t>Verwaltungsgebäude</t>
  </si>
  <si>
    <t>Bâtiment administratif</t>
  </si>
  <si>
    <t>Stabili amministrativi</t>
  </si>
  <si>
    <t>Pezzi ricambio</t>
  </si>
  <si>
    <t>Sonstige Kosten</t>
  </si>
  <si>
    <t>Autres coûts</t>
  </si>
  <si>
    <t>Altri costi</t>
  </si>
  <si>
    <t>Produktionsausfälle</t>
  </si>
  <si>
    <t>Perdite di produzione</t>
  </si>
  <si>
    <t>Ersatzmassnahmen, Ausgleichsmassnahmen</t>
  </si>
  <si>
    <t>Misure sostitutive e misure compensative</t>
  </si>
  <si>
    <t>Grundstücks- und Nebenkosten</t>
  </si>
  <si>
    <t>Costo dei terreni e costi accessori</t>
  </si>
  <si>
    <t>Planungs- und Bauleitungskosten</t>
  </si>
  <si>
    <t>Coûts de planification et de direction des travaux</t>
  </si>
  <si>
    <t>Costi di progettazione e di direzione dei lavori</t>
  </si>
  <si>
    <t>Planungskosten</t>
  </si>
  <si>
    <t>Costi di progettazione</t>
  </si>
  <si>
    <t>Bauleitungskosten</t>
  </si>
  <si>
    <t>Costi di direzione dei lavori</t>
  </si>
  <si>
    <t>U</t>
  </si>
  <si>
    <t>Unvorhergesehenes und Reserven</t>
  </si>
  <si>
    <t>Imprévus et autres réserves</t>
  </si>
  <si>
    <t>Imprevisti e riserve</t>
  </si>
  <si>
    <t>Anteil Planungs- und Bauleitungskosten</t>
  </si>
  <si>
    <t>Part des coûts de planification et de direction des travaux</t>
  </si>
  <si>
    <t>Quota costi di progettazione e direzione lavori</t>
  </si>
  <si>
    <t>deutsch = d
français = f
italiano = i</t>
  </si>
  <si>
    <t>Annuità in franchi svizzeri</t>
  </si>
  <si>
    <t>Kapitalkosten BFE</t>
  </si>
  <si>
    <t>Costo ponderato del capitale UFE</t>
  </si>
  <si>
    <t>Fattore di annualità</t>
  </si>
  <si>
    <t>Annuitätenfaktor</t>
  </si>
  <si>
    <t>DropDown</t>
  </si>
  <si>
    <t>nicht steuerbar &amp; &gt; 3 MWbr</t>
  </si>
  <si>
    <t>&lt;= 3 MWbr</t>
  </si>
  <si>
    <t>Alle Herkunftsnachweis (HKN)</t>
  </si>
  <si>
    <t>Indice des prix du marché</t>
  </si>
  <si>
    <t>Indice dei prezzi di mercato</t>
  </si>
  <si>
    <t>Contrôlabilité et taille</t>
  </si>
  <si>
    <t>Controllabilità e dimensioni</t>
  </si>
  <si>
    <t>Wasserzinskosten in CHF/kWbrutto</t>
  </si>
  <si>
    <t>Mittelwert der letzten 5 Geschäftsjahre. → vor Investition</t>
  </si>
  <si>
    <t>Nur für erhebliche Erneuerung ausfüllen</t>
  </si>
  <si>
    <t>Erwartete Mehrproduktion* aus Investition (inkl. neue Speicherkapazität)</t>
  </si>
  <si>
    <t>Der Umwälzpumpenstrom kann nur gefördert werden, wenn die die Anlage nicht überwiegend dem Umwälzbetrieb dient (vgl. Art. 29a Abs. 3 Bst. d EnG)</t>
  </si>
  <si>
    <t>Blätter 1 bis 6</t>
  </si>
  <si>
    <t>Investitionsbedingte Kosten für Kapital (Abschreibung + EK + FK)</t>
  </si>
  <si>
    <t>Anrechenbare Annuität</t>
  </si>
  <si>
    <t>Investitionsbedingter Pumpenstrom Erwartungswert</t>
  </si>
  <si>
    <t>Vor Investition (bestehende Anlage). Ergebnis der Optimierung mit gemittelten Zuflüssen der letzten 5 hydro-logischen Jahre</t>
  </si>
  <si>
    <t>Nach Investition (veränderte Anlage) Ergebnis der Optimierung mit gemittelten Zuflüssen der letzten 5 hydro-logischen Jahre</t>
  </si>
  <si>
    <t>Mit Produktion ohne neue Speicherkapazität</t>
  </si>
  <si>
    <t>Mit Produktion inkl. neuer Speicherkapazität</t>
  </si>
  <si>
    <t>Vor Investition (bestehende Anlage)</t>
  </si>
  <si>
    <t>Nach Investition (veränderte Anlage)</t>
  </si>
  <si>
    <t xml:space="preserve"> bis Q3 </t>
  </si>
  <si>
    <t xml:space="preserve">(Durchschnitt über den Handelszeitraum Q4 </t>
  </si>
  <si>
    <t>Erlös Total</t>
  </si>
  <si>
    <t>gMP Total Erlöse - Total Kosten</t>
  </si>
  <si>
    <t>Übersteigender Teil. Anteil, welcher beim Projekt bleibt</t>
  </si>
  <si>
    <t>Noch vom Projekt zu bezahlende Gewinn-Steuern auf übersteigendem Anteil</t>
  </si>
  <si>
    <t>Mehrproduktion aus Investition (inkl. neue Speicherkapazität)</t>
  </si>
  <si>
    <r>
      <rPr>
        <b/>
        <sz val="10"/>
        <color theme="1"/>
        <rFont val="Arial"/>
        <family val="2"/>
      </rPr>
      <t>vor</t>
    </r>
    <r>
      <rPr>
        <sz val="10"/>
        <color theme="1"/>
        <rFont val="Arial"/>
        <family val="2"/>
      </rPr>
      <t xml:space="preserve"> Investition (5-J-Mittelwert)</t>
    </r>
  </si>
  <si>
    <r>
      <rPr>
        <b/>
        <sz val="10"/>
        <color theme="1"/>
        <rFont val="Arial"/>
        <family val="2"/>
      </rPr>
      <t>nach</t>
    </r>
    <r>
      <rPr>
        <sz val="10"/>
        <color theme="1"/>
        <rFont val="Arial"/>
        <family val="2"/>
      </rPr>
      <t xml:space="preserve"> Investition (Erwartungswert) </t>
    </r>
  </si>
  <si>
    <t>Prozentzsatz Mehrerlös/Gesamterlös Day Ahed</t>
  </si>
  <si>
    <t>Jährlich zu bestimmender Prozentsatz zur Ermittlung der Mehrproduktion aus Investition, der Betriebskosten und den Abgaben</t>
  </si>
  <si>
    <t>Abschätzung für</t>
  </si>
  <si>
    <t xml:space="preserve"> in CHF</t>
  </si>
  <si>
    <t xml:space="preserve">Abschätzung über </t>
  </si>
  <si>
    <t xml:space="preserve"> Jahre</t>
  </si>
  <si>
    <t xml:space="preserve"> Laufzeit in CHF</t>
  </si>
  <si>
    <t>Allg., SDL, RMP, HKN, Wi-Res.</t>
  </si>
  <si>
    <t>vom Referenzmarktpreis nach Art.15 EnFV</t>
  </si>
  <si>
    <t>Termin &amp; FX</t>
  </si>
  <si>
    <t>Durchschnittspreis Maturity Q4/2023 – Q3/2024 DEBQ und DEBY</t>
  </si>
  <si>
    <t>Tipo di investimento</t>
  </si>
  <si>
    <t>Type d'investissement</t>
  </si>
  <si>
    <t>Agrandissement notable</t>
  </si>
  <si>
    <t>Rinnovamento considerevole</t>
  </si>
  <si>
    <t>Ampliamento considerevole</t>
  </si>
  <si>
    <t>Rénovation notable</t>
  </si>
  <si>
    <t>Nouvelle installation</t>
  </si>
  <si>
    <t>Nuovo impianto</t>
  </si>
  <si>
    <t>Differenziazione controllabilità e dimensioni</t>
  </si>
  <si>
    <t>controllabile &amp; &gt; 3 MWbr</t>
  </si>
  <si>
    <t>non controllabile &amp; &gt; 3 MWbr</t>
  </si>
  <si>
    <t>Type de centrale électrique</t>
  </si>
  <si>
    <t>Tipo di centrale elettrica</t>
  </si>
  <si>
    <t>Tipo di anno contabile</t>
  </si>
  <si>
    <t>Anno solare</t>
  </si>
  <si>
    <t>Anno idrologico</t>
  </si>
  <si>
    <t>Année hydrologique</t>
  </si>
  <si>
    <t>Année civile</t>
  </si>
  <si>
    <t>Langue</t>
  </si>
  <si>
    <t>Lingua</t>
  </si>
  <si>
    <t>Tutte le garanzie di origine (GO)</t>
  </si>
  <si>
    <t>le garanzie di origine rilasciate per l'impianto ampliato, al netto delle garanzie di origine che sarebbero state rilasciate per l'impianto prima dell'ampliamento</t>
  </si>
  <si>
    <t>le garanzie di origine rilasciate per l'impianto rinnovato, al netto delle garanzie di origine che sarebbero state rilasciate per l'impianto prima del rinnovamento</t>
  </si>
  <si>
    <t>Anschliessend füllen Sie bitte die vier folgenden excel-Blätter aus (siehe blau hinterlegte Ritter)</t>
  </si>
  <si>
    <t>Successivamente, compilare le quattro pagine Excel seguenti (vedere il simbolo blu)</t>
  </si>
  <si>
    <t>Trading_période</t>
  </si>
  <si>
    <t>Trading_periodo</t>
  </si>
  <si>
    <t>prezzo medio MaturityT4/2023 – T3/2024 DEBQ und DEBY</t>
  </si>
  <si>
    <t>prezzo di mercato a termine</t>
  </si>
  <si>
    <t>Media mensile/fine mese</t>
  </si>
  <si>
    <t>Valuta</t>
  </si>
  <si>
    <t>Monnaie</t>
  </si>
  <si>
    <t>Moyenne mensuelle</t>
  </si>
  <si>
    <t>Media mensile</t>
  </si>
  <si>
    <t>Europe - EUR 1.-</t>
  </si>
  <si>
    <t>Controllo</t>
  </si>
  <si>
    <t>da</t>
  </si>
  <si>
    <t>fino a</t>
  </si>
  <si>
    <t>Approccio per il pagamento forfettario</t>
  </si>
  <si>
    <t>Quota di riserva per l'intera Svizzera Riserva idroelettrica</t>
  </si>
  <si>
    <t>riserva per l'intera Svizzera Riserva idroelettrica</t>
  </si>
  <si>
    <t>… a partire da una capacità di accumulazione di</t>
  </si>
  <si>
    <t>Quantità totale di energia di tutte le centrali idroelettriche ad accumulamento in CH …</t>
  </si>
  <si>
    <t>Prezzo GO</t>
  </si>
  <si>
    <t>PMR</t>
  </si>
  <si>
    <t>prezzo di mercato di riferimento (PMR) ai sensi dell'Art. 15 OPEn</t>
  </si>
  <si>
    <r>
      <t>impianti ad accumulazione con pompaggio e impianti di pompaggio turbinaggio (</t>
    </r>
    <r>
      <rPr>
        <b/>
        <sz val="10"/>
        <color theme="1"/>
        <rFont val="Arial"/>
        <family val="2"/>
      </rPr>
      <t>PT</t>
    </r>
    <r>
      <rPr>
        <sz val="10"/>
        <color theme="1"/>
        <rFont val="Arial"/>
        <family val="2"/>
      </rPr>
      <t>)</t>
    </r>
  </si>
  <si>
    <r>
      <t>controllabile &amp; &gt; 3 MWbr (</t>
    </r>
    <r>
      <rPr>
        <b/>
        <sz val="10"/>
        <color theme="1"/>
        <rFont val="Arial"/>
        <family val="2"/>
      </rPr>
      <t>C</t>
    </r>
    <r>
      <rPr>
        <sz val="10"/>
        <color theme="1"/>
        <rFont val="Arial"/>
        <family val="2"/>
      </rPr>
      <t>)</t>
    </r>
  </si>
  <si>
    <r>
      <t>non controllabile &amp; &gt; 3 MWbr (</t>
    </r>
    <r>
      <rPr>
        <b/>
        <sz val="10"/>
        <color theme="1"/>
        <rFont val="Arial"/>
        <family val="2"/>
      </rPr>
      <t>nC</t>
    </r>
    <r>
      <rPr>
        <sz val="10"/>
        <color theme="1"/>
        <rFont val="Arial"/>
        <family val="2"/>
      </rPr>
      <t>)</t>
    </r>
  </si>
  <si>
    <t>terziaria</t>
  </si>
  <si>
    <t>PRT+</t>
  </si>
  <si>
    <t>PRT-</t>
  </si>
  <si>
    <t>primaria</t>
  </si>
  <si>
    <t>secondaria</t>
  </si>
  <si>
    <t>PRS+</t>
  </si>
  <si>
    <t>PRS-</t>
  </si>
  <si>
    <t>Leistung pro Kategorie</t>
  </si>
  <si>
    <t>potenza per categoria</t>
  </si>
  <si>
    <t>Quota di energia idroelettrica svizzera</t>
  </si>
  <si>
    <t>Costi totali di fornitura e richiamo in CHF</t>
  </si>
  <si>
    <t>Costi totali di fornitura e richiamo</t>
  </si>
  <si>
    <t>dal prezzo di mercato di riferimento (PMR) ai sensi dell'Art. 15 OPEn</t>
  </si>
  <si>
    <t>Costi del capitale di terzi</t>
  </si>
  <si>
    <t>Coût des fonds étrangers</t>
  </si>
  <si>
    <t>Coût des fonds propres</t>
  </si>
  <si>
    <t>Costo del capitale proprio</t>
  </si>
  <si>
    <t>Quota di capitale di terzi</t>
  </si>
  <si>
    <t>Part des fonds propres</t>
  </si>
  <si>
    <t>Part des fonds étrangers</t>
  </si>
  <si>
    <t>Quota di capitale proprio</t>
  </si>
  <si>
    <t>Aliquota media dell'imposta sul reddito in Svizzera</t>
  </si>
  <si>
    <t>Quota di copertura a termine della produzione prevista</t>
  </si>
  <si>
    <t>Part de la couverture à terme de la production attendue</t>
  </si>
  <si>
    <t>Reduktion Rückzahlung für Jan., Feb., Mär. und Dez.</t>
  </si>
  <si>
    <t>Réduction du remboursement pour janvier, février, mars et décembre</t>
  </si>
  <si>
    <t>Riduzione del rimborso per gennaio, febbraio, marzo e dicembre.</t>
  </si>
  <si>
    <t>numero di anni sulla promozione</t>
  </si>
  <si>
    <t>Anno di valutazione</t>
  </si>
  <si>
    <t>Anno di inizio dei lavori</t>
  </si>
  <si>
    <t>Année de début des travaux</t>
  </si>
  <si>
    <t xml:space="preserve">Stima su una durata di </t>
  </si>
  <si>
    <t xml:space="preserve">Estimation sur une durée de </t>
  </si>
  <si>
    <t xml:space="preserve"> ans en CHF</t>
  </si>
  <si>
    <t xml:space="preserve"> anni in CHF</t>
  </si>
  <si>
    <t xml:space="preserve">Stima per il </t>
  </si>
  <si>
    <t xml:space="preserve">Estimation pour </t>
  </si>
  <si>
    <t xml:space="preserve"> en CHF</t>
  </si>
  <si>
    <t>Utile al netto del costo del capitale proprio</t>
  </si>
  <si>
    <t>- Imposta sugli utili sulla quota eccedente</t>
  </si>
  <si>
    <t>- Imposta sull'utile netto di capitale proprio</t>
  </si>
  <si>
    <t>- Coût des fonds étrangers</t>
  </si>
  <si>
    <t>- Costi del capitale di terzi</t>
  </si>
  <si>
    <t>- ammortamenti</t>
  </si>
  <si>
    <t>i tributi e le prestazioni agli enti pubblici (canone annuo inclusi)</t>
  </si>
  <si>
    <t>Costi di gestione e valorizzazione dell'energia</t>
  </si>
  <si>
    <t>Coûts d’exploitation</t>
  </si>
  <si>
    <t>Costi d’esercizio</t>
  </si>
  <si>
    <t>Costi dell'energia elettrica per le pompe di ricircolo</t>
  </si>
  <si>
    <t>Costi per l'elettricità delle pompe di alimentazione</t>
  </si>
  <si>
    <t>Charges</t>
  </si>
  <si>
    <t>Oneri</t>
  </si>
  <si>
    <t>Mercato die prestazioni di servizio relative al sistema (PSRS)</t>
  </si>
  <si>
    <t>Copertura dei rischi sui mercati a termine</t>
  </si>
  <si>
    <t>Imposta sull'utile netto di capitale proprio</t>
  </si>
  <si>
    <t>+ Produits</t>
  </si>
  <si>
    <t>+ Ricavi</t>
  </si>
  <si>
    <t>Produzione aggiuntiva derivante dagli investimenti (esclusa la nuova capacità di stoccaggio) in MWh</t>
  </si>
  <si>
    <t>Prezzo a termine per una copertura dell'80% della produzione netta in CHF/MWh</t>
  </si>
  <si>
    <t>Prezzo annuale "base" in CHF/MWh</t>
  </si>
  <si>
    <t>Durata in anni dal premio di mercato fluttuante</t>
  </si>
  <si>
    <t>Durata della concessione = fase operativa in anni</t>
  </si>
  <si>
    <t>Fase di costruzione in anni</t>
  </si>
  <si>
    <t>Premio di mercato fluttuante in valore assoluto
che avrebbe potuto essere ottenuto con i dati dell'anno precedente
(+ dal FSR al progetto, - dal progetto al FSR)</t>
  </si>
  <si>
    <t>Prime de marché flottante spécifique</t>
  </si>
  <si>
    <t>Premio di mercato fluttuante in valore specifico</t>
  </si>
  <si>
    <t>tasso di rimunerazione</t>
  </si>
  <si>
    <t>Produzione aggiuntiva derivante dagli investimenti (compresa la nuova capacità di stoccaggio)</t>
  </si>
  <si>
    <t>nuova capacità di stoccaggio</t>
  </si>
  <si>
    <t>Produzione aggiuntiva derivante dagli investimenti (esclusa la nuova capacità di stoccaggio)</t>
  </si>
  <si>
    <t>Ricavo da investimenti</t>
  </si>
  <si>
    <t>prezzo di mercato di riferimento</t>
  </si>
  <si>
    <t>Vendita al prezzo di riferimento di mercato</t>
  </si>
  <si>
    <t>Vendita day-ahead</t>
  </si>
  <si>
    <t>Costi annuali derivanti dall'investimento</t>
  </si>
  <si>
    <t>Quota eccedente trattenuta</t>
  </si>
  <si>
    <t>Imposta sul reddito da capitale sulla quota eccedente trattenuta</t>
  </si>
  <si>
    <t>costi di capitale</t>
  </si>
  <si>
    <t>investimenti imputabili</t>
  </si>
  <si>
    <t>Durata di utilizzo ponderata in base all'investimento</t>
  </si>
  <si>
    <t>Anno di scadenza della concessione</t>
  </si>
  <si>
    <t>Année de mise en service</t>
  </si>
  <si>
    <t xml:space="preserve">Année </t>
  </si>
  <si>
    <t xml:space="preserve">Anno </t>
  </si>
  <si>
    <t>Livello iniziale</t>
  </si>
  <si>
    <t>mantenere fino all'anno compreso</t>
  </si>
  <si>
    <t>aumentare/diminuire per x anni</t>
  </si>
  <si>
    <t>au niveau X</t>
  </si>
  <si>
    <t>au niveau Y</t>
  </si>
  <si>
    <t>a livello X</t>
  </si>
  <si>
    <t>a livello Y</t>
  </si>
  <si>
    <t>Percentuale</t>
  </si>
  <si>
    <t>Ricavi totali dall'investimento (solo Day-Ahead)</t>
  </si>
  <si>
    <t>Ricavi aggiuntivi da investimenti (solo Day-Ahead)</t>
  </si>
  <si>
    <t>Percentuale da determinare annualmente per calcolare la produzione aggiuntiva derivante dagli investimenti, dai costi operativi e dai tributi.</t>
  </si>
  <si>
    <t>Indici</t>
  </si>
  <si>
    <t>Quota eccedente residua del progetto</t>
  </si>
  <si>
    <t>Imposta sugli utili sulla quota eccedente</t>
  </si>
  <si>
    <t>ammortamenti</t>
  </si>
  <si>
    <t>ricavi</t>
  </si>
  <si>
    <t>Gleitende Marktprämie</t>
  </si>
  <si>
    <t>Parte eccedente. Quota che rimane al progetto.</t>
  </si>
  <si>
    <t>Parte eccedente</t>
  </si>
  <si>
    <t>Imposte sul reddito ancora da pagare dal progetto sulla parte eccedente</t>
  </si>
  <si>
    <t>Part excédentaire</t>
  </si>
  <si>
    <t>PMF total des recettes - total des coûts</t>
  </si>
  <si>
    <t>PMF ricavi totali - costi totali</t>
  </si>
  <si>
    <t>Costi totali</t>
  </si>
  <si>
    <t>Coûts totaux</t>
  </si>
  <si>
    <t>Costi imposte capitale proprio</t>
  </si>
  <si>
    <t>Costo ponderato del capitale (annuità senza IVA)</t>
  </si>
  <si>
    <t>Coûts d’exploitation (hors TVA)</t>
  </si>
  <si>
    <t>Costi d’esercizio (senza IVA)</t>
  </si>
  <si>
    <t>I rispettivi costi annuali vengono ripartiti sui mesi in proporzione alla produzione aggiuntiva.</t>
  </si>
  <si>
    <t>Ricavi totali</t>
  </si>
  <si>
    <t>Recettes totales</t>
  </si>
  <si>
    <t>Ricavo dalle prestazioni di servizio relative al sistema</t>
  </si>
  <si>
    <t>Ricavi dalla copertura dei rischi sui mercati a termine</t>
  </si>
  <si>
    <t>ricavo sul mercato day-ahead (assoluto)</t>
  </si>
  <si>
    <t>ricavo sul mercato day-ahead (specifico)</t>
  </si>
  <si>
    <t>Ricavi aggiuntivi dalla riserva invernale</t>
  </si>
  <si>
    <t>Capacità di stoccaggio supplementare legata agli investimenti da remunerare</t>
  </si>
  <si>
    <t>Capacità di accumulazione aggiuntiva legata agli investimenti</t>
  </si>
  <si>
    <t>Ricavi legati agli investimenti dalla riserva invernale</t>
  </si>
  <si>
    <t>Ricavi supplementari dalle garanzie di origine</t>
  </si>
  <si>
    <t>Ricavi specifici</t>
  </si>
  <si>
    <t>Recettes spécifiques</t>
  </si>
  <si>
    <t>Produzione aggiuntiva derivante dalle garanzie di origine</t>
  </si>
  <si>
    <t>Ricavi legati agli investimenti dalle garanzie di origine (GO)</t>
  </si>
  <si>
    <t>Ricavi supplementari dai prestazioni di servizio relative al sistema (PSRS)</t>
  </si>
  <si>
    <t>(steuerbar &gt;=3 MW (ST), nicht steuerbar oder &lt;3 MW (NST), Pumpspeicher- oder Umwälzkraftwerk (PU))</t>
  </si>
  <si>
    <t xml:space="preserve">(controllabile &amp; &gt;3 MWbr (Co), non controllabile &amp; &lt;3 MWbr (nCo), centrale ad accumulazione con pompaggio (AP)) </t>
  </si>
  <si>
    <t>nCo</t>
  </si>
  <si>
    <t>PT</t>
  </si>
  <si>
    <t>AP</t>
  </si>
  <si>
    <t>Co</t>
  </si>
  <si>
    <t>Potenza aggiuntiva installata grazie all'investimento</t>
  </si>
  <si>
    <t>Tipo PSRS risultante</t>
  </si>
  <si>
    <t>Ricavi legati agli investimenti derivanti dalle prestazioni di servizio relative al sistema (PSRS)</t>
  </si>
  <si>
    <t xml:space="preserve">Ricavi supplementari dalla copertura dei rischi sui mercati a termine </t>
  </si>
  <si>
    <t>, vedi pagina “Termin &amp; FX”)</t>
  </si>
  <si>
    <t xml:space="preserve"> fino al T3 </t>
  </si>
  <si>
    <t xml:space="preserve">(Media nel periodo di negoziazione T4 </t>
  </si>
  <si>
    <t>, siehe Blatt 'Termin &amp; FX')</t>
  </si>
  <si>
    <t>Valutazione della produzione da proteggere</t>
  </si>
  <si>
    <t>Ricavo medio mercato Day-Ahead</t>
  </si>
  <si>
    <t>Prix moyen de couverture sur le marché à terme</t>
  </si>
  <si>
    <t>Prezzo medio di copertura sul mercato a termine</t>
  </si>
  <si>
    <t>Produzione da assicurare</t>
  </si>
  <si>
    <t>Quota da assicurare</t>
  </si>
  <si>
    <t>Valore atteso della produzione da assicurare</t>
  </si>
  <si>
    <t>Produzione pompaggio-turbinaggio</t>
  </si>
  <si>
    <t>energia legata alla sostituzione dell’accumulo di acqua/energia di scambio</t>
  </si>
  <si>
    <t>Produzione netta</t>
  </si>
  <si>
    <t>dopo l'investimento (valore atteso)</t>
  </si>
  <si>
    <t>prima dell'investimento (media su 5 anni)</t>
  </si>
  <si>
    <t>Ricavo supplementare</t>
  </si>
  <si>
    <t>Con produzione inclusa nuova capacità di stoccaggio</t>
  </si>
  <si>
    <t>Avec production, y compris nouvelle capacité de stockage</t>
  </si>
  <si>
    <t>Après investissement (installation modifiée)</t>
  </si>
  <si>
    <t>Dopo l'investimento (impianto esistente)</t>
  </si>
  <si>
    <t>Dopo l'investimento (impianto modificato)</t>
  </si>
  <si>
    <t>Con produzione senza nuova capacità di stoccaggio</t>
  </si>
  <si>
    <t>Ricavi supplementari dalla vendita day-ahead</t>
  </si>
  <si>
    <t>Ricavi supplementari dal investimento</t>
  </si>
  <si>
    <t>Dopo l'investimento (impianto esistente) Risultato dell'ottimizzazione con afflussi medi degli ultimi 5 anni idrologici</t>
  </si>
  <si>
    <t>Dopo l'investimento (impianto modificato) Risultato dell'ottimizzazione con afflussi medi degli ultimi 5 anni idrologici</t>
  </si>
  <si>
    <t>imposte capitale proprio</t>
  </si>
  <si>
    <t>Coûts du capital (fonds propres + fonds étrangers)</t>
  </si>
  <si>
    <t>Costi di capitale (capitale proprio + capitale di terzi)</t>
  </si>
  <si>
    <t>Ammortamenti (investimento imputabile / vita utile ponderata in base agli investimenti)</t>
  </si>
  <si>
    <t>Costi fiscali legati agli investimenti</t>
  </si>
  <si>
    <t>Costi aggiuntivi per l'elettricità delle pompe di un centrale di pompaggio-turbinaggio</t>
  </si>
  <si>
    <t>Costi per l'elettricità delle pompe di un centrale di pompaggio-turbinaggio</t>
  </si>
  <si>
    <t>Costi dell'energia elettrica necessaria per il funzionamento delle pompe (ipotizzando che il progetto sia già stato realizzato)</t>
  </si>
  <si>
    <t>Corrente della pompa dovuta agli investimenti. Valore previsto</t>
  </si>
  <si>
    <t>Prezzo dell'energia elettrica necessaria per il funzionamento delle pompe (ipotizzando che il progetto sia già stato realizzato)</t>
  </si>
  <si>
    <t>canone annuo</t>
  </si>
  <si>
    <t>Tributi e prestazioni medie prima degli investimenti</t>
  </si>
  <si>
    <t>Costi legati agli investimenti derivanti da tributi e prestazioni agli enti pubblici</t>
  </si>
  <si>
    <t>Costi imputabili di gestione e valorizzazione dell'energia</t>
  </si>
  <si>
    <t>OPEn, Allegato 6.1, cifra 4.1.1, lettera c</t>
  </si>
  <si>
    <t>Hanno diritto solo gli impianti che dopo l'investimento hanno una potenza lorda &gt; 3 MW (calcolata coi salti e i deflussi utili).</t>
  </si>
  <si>
    <t>Aumento netto della produzione dovuto all'investimento</t>
  </si>
  <si>
    <t>Droit</t>
  </si>
  <si>
    <t>Diritto</t>
  </si>
  <si>
    <t>Costi di investimento per la gestione e valorizzazione dell'energia</t>
  </si>
  <si>
    <t>Coûts d’exploitation imputables</t>
  </si>
  <si>
    <t>Costi d’esercizio imputabili</t>
  </si>
  <si>
    <t>corrispondono al 2% degli investimenti imputabili</t>
  </si>
  <si>
    <t>Totale</t>
  </si>
  <si>
    <t>Percentuale di ricavo aggiuntivo/ricavo totale Day Ahed</t>
  </si>
  <si>
    <t>Costi d’esercizio medi prima dell'investimento</t>
  </si>
  <si>
    <t>Costi d’esercizio legati agli investimenti</t>
  </si>
  <si>
    <t>Annuità computabile</t>
  </si>
  <si>
    <t>Annuité imputable</t>
  </si>
  <si>
    <t>Costi di investimento per capitale (ammortamento + capitale proprio + capitale di terzi)</t>
  </si>
  <si>
    <t>Energia elettrica per la pompa di una centrale di pompaggio-turbinaggio</t>
  </si>
  <si>
    <t>Energia elettrica per la pompa di una centrale di pompaggio-turbinaggio può essere favorita solo se l'impianto non è utilizzato principalmente per il pompaggio-turbinaggio (cfr. art. 29a, cpv. 3, lett. d, LEne).</t>
  </si>
  <si>
    <t>Energia elettrica della pompa di alimentazione</t>
  </si>
  <si>
    <t>*Per consumo proprio si intende il consumo immediato di energia elettrica al momento della produzione nel luogo di produzione o di stoccaggio immediato e il consumo successivo nel luogo di produzione.</t>
  </si>
  <si>
    <t>Produzione aggiuntiva GO legata agli investimenti</t>
  </si>
  <si>
    <t>Produzione GO: = produzione netta - (corrente della pompa di alimentazione * rendimento della pompa) - (corrente della pompa di ricircolo * rendimento della pompa) = produzione netta da afflussi naturali</t>
  </si>
  <si>
    <t>Produzione lorda - produzione netta: = perdite + consumo proprio*</t>
  </si>
  <si>
    <t>Produzione netta: = produzione immessa nella rete (compresa la produzione da acqua di alimentazione e di ricircolo pompata)</t>
  </si>
  <si>
    <t>Produzione lorda: = produzione ai terminali del generatore (compresa la produzione derivante dall'acqua di alimentazione e di circolazione pompata)</t>
  </si>
  <si>
    <t>Produzione GO</t>
  </si>
  <si>
    <t>Production nette</t>
  </si>
  <si>
    <t>Aumento previsto della produzione* grazie agli investimenti (compresa la nuova capacità di stoccaggio)</t>
  </si>
  <si>
    <t>Nouvelle capacité de stockage</t>
  </si>
  <si>
    <t>Nuova capacità di stoccaggio</t>
  </si>
  <si>
    <t>Da compilare solo in caso di ristrutturazione sostanziale</t>
  </si>
  <si>
    <t>Media degli ultimi 5 esercizi. → prima dell'investimento</t>
  </si>
  <si>
    <t>Produzione netta: = produzione immessa nella rete (compresa la produzione derivante dall'acqua pompata per l'alimentazione e la circolazione)</t>
  </si>
  <si>
    <t>Production</t>
  </si>
  <si>
    <t>Produzione</t>
  </si>
  <si>
    <t>dopo l'investimento</t>
  </si>
  <si>
    <t>prima dell'investimento</t>
  </si>
  <si>
    <t>Potenza installata turbine</t>
  </si>
  <si>
    <t>Puissance installée des turbines</t>
  </si>
  <si>
    <t>Données techniques</t>
  </si>
  <si>
    <t>Dati tecnici</t>
  </si>
  <si>
    <t>ans</t>
  </si>
  <si>
    <t>anni</t>
  </si>
  <si>
    <t>Durata residua della concessione</t>
  </si>
  <si>
    <t>Numero di anni di costruzione</t>
  </si>
  <si>
    <t>Costi relativi al canone annuo in CHF/kWbrut</t>
  </si>
  <si>
    <t>WACC Projekt</t>
  </si>
  <si>
    <t>Progetto WACC</t>
  </si>
  <si>
    <t>Durata dell'ammortamento in anni</t>
  </si>
  <si>
    <t>Persona da contattare: nome, cognome</t>
  </si>
  <si>
    <t>Cantone in cui si trova l'impianto</t>
  </si>
  <si>
    <t>Nom du projet</t>
  </si>
  <si>
    <t>Nome del progetto</t>
  </si>
  <si>
    <t>START, DEBUT, INIZIO (d)</t>
  </si>
  <si>
    <t>START, DEBUT, INIZIO (f)</t>
  </si>
  <si>
    <t>START, DEBUT, INIZIO (i)</t>
  </si>
  <si>
    <t>Allgemein (d)</t>
  </si>
  <si>
    <t>Allgemein (f)</t>
  </si>
  <si>
    <t>Allgemein (i)</t>
  </si>
  <si>
    <t>après inv. - avant inv.</t>
  </si>
  <si>
    <t>dopo investimento - prima dell'investimento</t>
  </si>
  <si>
    <t>Ergebnis der Optimierung mit gemittelten Zuflüssen der letzten 5 Hydrologischen Jahre.
→ vor Investition</t>
  </si>
  <si>
    <t>Erwartete Produktion (inkl. neue Speicherkapazität)
→ nach Investition</t>
  </si>
  <si>
    <t>Produzione prevista (inclusa nuova capacità di stoccaggio)
→ dopo l'investimento</t>
  </si>
  <si>
    <t>Risultato dell'ottimizzazione con afflussi medi degli ultimi 5 anni idrologici.
→ prima dell'investimento</t>
  </si>
  <si>
    <t>Mittelwert der HKN-Produktion der letzten 5 Geschäftsjahre
→ vor Investition</t>
  </si>
  <si>
    <t>Valore medio della produzione GO degli ultimi 5 esercizi
→ prima dell'investimento</t>
  </si>
  <si>
    <t>Erwartungswert der HKN-Produktion, falls die geplante Erneuerung nicht realisiert würde.</t>
  </si>
  <si>
    <t>Valore atteso della produzione GO qualora il rinnovo previsto non venisse realizzato.</t>
  </si>
  <si>
    <t>Produktion netto</t>
  </si>
  <si>
    <t>Produktion netto: = Produktion, welche ins Netz eingespiesen wird  (inkl. Produktion aus gepumptem Zubringer- und Umwälz-Wasser)</t>
  </si>
  <si>
    <t>Produktion brutto: = Produktion an den Generatorklemmen (inkl. Produktion aus gepumptem Zubringer- und Umwälz-Wasser)</t>
  </si>
  <si>
    <t>Erwartungswert des Pumpenstroms, falls die geplante Erneuerung nicht realisiert würde.
→ in MWh</t>
  </si>
  <si>
    <t>Valore atteso dell'energia elettrica della pompa se il rinnovo previsto non fosse stato effettuato.
→ in MWh</t>
  </si>
  <si>
    <t>Mittelwert Pumpenstrom der letzten 5 Geschäftsjahre
→ vor Investition</t>
  </si>
  <si>
    <t>Valore medio del'energia elettrica della pompa negli ultimi 5 esercizi
→ prima dell'investimento</t>
  </si>
  <si>
    <t>Erwarteter Pumpenstrom im Inbetriebnahmejahr
→ nach Investition</t>
  </si>
  <si>
    <t>Investitionsbedingter Pumpenstrom</t>
  </si>
  <si>
    <t>Energia elettrica consumata dalle pompe per investimenti</t>
  </si>
  <si>
    <t>MWh gerettete Speicherkapazität = Speicherkapazität nach Investition - Speicherkapazität der nicht erneuerten Anlageteile</t>
  </si>
  <si>
    <t>MWh di capacità di stoccaggio salvata = capacità di stoccaggio dopo l'investimento - capacità di stoccaggio delle parti non rinnovate dell'impianto</t>
  </si>
  <si>
    <t>Erlös aus Verkauf zum Referenzmarktpreis</t>
  </si>
  <si>
    <t>ricavi dalla vendita al prezzo di mercato di riferimento</t>
  </si>
  <si>
    <t>Mehrerlös aus  Verkauf zum Referenzmarktpreis</t>
  </si>
  <si>
    <t>Ricavo aggiuntivo dalla vendita al prezzo di riferimento di mercato</t>
  </si>
  <si>
    <t>Erlös aus Verkauf zum Referenzmarktpreis (absolut)</t>
  </si>
  <si>
    <t>Ricavi derivanti dalla vendita al prezzo di riferimento di mercato (assoluto)</t>
  </si>
  <si>
    <t>Erlös aus Verkauf zum Referenzmarktpreis (spezifisch)</t>
  </si>
  <si>
    <t>Ricavi derivanti dalla vendita al prezzo di riferimento di mercato (specifico)</t>
  </si>
  <si>
    <t>Nutzbare Speicherkapazität (nur für steuerbar &gt;=3 MW ausfüllen)</t>
  </si>
  <si>
    <t>Capacità di stoccaggio utile (compilare solo per controllabile &amp; &gt; 3 MWbr)</t>
  </si>
  <si>
    <t>Mehrproduktion aus Investition
(ohne neue Speicherkapazität)</t>
  </si>
  <si>
    <t>Produzione aggiuntiva derivante dagli investimenti
(senza la nuova capacità di stoccaggio)</t>
  </si>
  <si>
    <t>Nutzbare Speicherkapazität der nicht erneuerten Anlageteile (nur für erhebliche Erneuerngen, welche steuerbar und &gt;=3 MWbr sind, ausfüllen)</t>
  </si>
  <si>
    <t>Capacità di stoccaggio utile delle parti dell'impianto non rinnovate (Da compilare solo per ristrutturazioni importanti soggette a imposta e &gt;=3 MWbr.)</t>
  </si>
  <si>
    <t>Anrechenbare Abgaben und Leistungen an das Gemeinwesen</t>
  </si>
  <si>
    <t>i tributi e le prestazioni imputabili  agli enti pubblici</t>
  </si>
  <si>
    <t>Indice</t>
  </si>
  <si>
    <t>Conto profitti e perdite</t>
  </si>
  <si>
    <t>WACC BFE</t>
  </si>
  <si>
    <t>WACC OFEN</t>
  </si>
  <si>
    <t>WACC UFE</t>
  </si>
  <si>
    <t>Erlös pro MW installiert</t>
  </si>
  <si>
    <t>Recettes par MW installé</t>
  </si>
  <si>
    <t>Ricavi per MW installato</t>
  </si>
  <si>
    <t>Eigenkapitalkosten vor Steuern</t>
  </si>
  <si>
    <t>Costo del capitale proprio al lordo delle imposte</t>
  </si>
  <si>
    <t>AT</t>
  </si>
  <si>
    <t>Erwartungswert der Produktion aus den nicht erneuerten Anlageteilen</t>
  </si>
  <si>
    <t>Valeur attendue de la production si le renouvellement prévu n'était pas réalisé.</t>
  </si>
  <si>
    <t>Valore atteso della produzione qualora il rinnovo previsto non venisse realizzato.</t>
  </si>
  <si>
    <t>Produzione netta dopo investimenti (esclusa nuova capacità di stoccaggio)</t>
  </si>
  <si>
    <t>Production nette après investissements (hors nouvelle capacité de stockage)</t>
  </si>
  <si>
    <t>Nettoproduktion nach Investition (ohne neue Speicherkapazität)</t>
  </si>
  <si>
    <t>Prozentzsatz Mehproduktion/Nettoproduktion nach Investition</t>
  </si>
  <si>
    <t>Pourcentage de production supplémentaire/production nette après investissement</t>
  </si>
  <si>
    <t>Percentuale di produzione aggiuntiva/produzione netta dopo l'investimento</t>
  </si>
  <si>
    <t>Veuillez à présent compléter les quatre pages Excel suivantes (voir les onglets bleues)</t>
  </si>
  <si>
    <t>Canton d’implantation de l’installation</t>
  </si>
  <si>
    <t>Personne de contact : prénom, nom</t>
  </si>
  <si>
    <t>E-mail</t>
  </si>
  <si>
    <t>Téléphone</t>
  </si>
  <si>
    <t>Type d’année comptable</t>
  </si>
  <si>
    <t xml:space="preserve">Année de fin de la concession </t>
  </si>
  <si>
    <t>Durée d’amortissement en années</t>
  </si>
  <si>
    <t>WACC du projet</t>
  </si>
  <si>
    <t>Coûts de la redevance hydraulique en CHF/kWbrut</t>
  </si>
  <si>
    <t>Durée de la construction en années</t>
  </si>
  <si>
    <t>Durée de concession restante</t>
  </si>
  <si>
    <t>Durée d’utilisation des investissements pondérés</t>
  </si>
  <si>
    <t>Puissance mécanique brute</t>
  </si>
  <si>
    <t>Capacité de stockage utilisable (à remplir uniquement si contrôlable &gt;= 3 MW)</t>
  </si>
  <si>
    <t>Capacité de stockage utilisable des parties de l’installation non renouvelées (à remplir uniquement si rénovation notable, contrôlable et &gt;=3 MWbr)</t>
  </si>
  <si>
    <t>avant investissement</t>
  </si>
  <si>
    <t>après investissement</t>
  </si>
  <si>
    <t>MWh capacité de stockage sauvée = capacité de stockage après l’investissement - capacité de stockage des parties non rénovées de l’installation</t>
  </si>
  <si>
    <t>Production nette = production injectée dans le réseau (y compris la production issue de l’eau pompée pour l’alimentation et le pompage-turbinage pur)</t>
  </si>
  <si>
    <t>Moyenne des 5 derniers exercices → avant investissement</t>
  </si>
  <si>
    <t>Résultat de l’optimisation avec les débits entrants moyens des 5 dernières années hydrologiques → avant investissement</t>
  </si>
  <si>
    <t>À remplir uniquement en cas de rénovation notable</t>
  </si>
  <si>
    <t>Production supplémentaire attendue* résultant de l’investissement (y compris nouvelle capacité de stockage)</t>
  </si>
  <si>
    <t>Production brute = production aux bornes du générateur (y compris la production issue de l’eau pompée pour l’alimentation et le pompage-turbinage pur)</t>
  </si>
  <si>
    <t>Production brute - production nette = pertes + consommation propre*</t>
  </si>
  <si>
    <t>Production attestée par des GO = production nette - (électricité pour les pompes d’alimentation * rendement des pompes) - (électricité pour les pompes servant au pompage-turbinage pur * rendement des pompes) = production nette provenant des apports naturels</t>
  </si>
  <si>
    <t>Valeur attendue de la production attestée par des GO si la rénovation prévue n’était pas réalisée</t>
  </si>
  <si>
    <t>Valeur moyenne de la production attestée par des GO au cours des 5 derniers exercices
→ avant investissement</t>
  </si>
  <si>
    <t>Production attendue (y compris nouvelle capacité de stockage)
→ après investissement</t>
  </si>
  <si>
    <t>Production supplémentaire résultant de l’investissement et attestée par des GO</t>
  </si>
  <si>
    <t>*Par consommation propre, on entend soit la consommation immédiate d’électricité au moment de la production sur le site de production soit le stockage immédiat en vue de la consommation ultérieure sur le site de production.</t>
  </si>
  <si>
    <t>Électricité pour les pompes d’alimentation</t>
  </si>
  <si>
    <t>Électricité pour les pompes liée à l’investissement</t>
  </si>
  <si>
    <t>Électricité les pompes servant au pompage-turbinage pur</t>
  </si>
  <si>
    <t>L’électricité les pompes servant au pompage-turbinage pur peut bénéficier d’un encouragement uniquement si l’installation ne sert pas de manière prépondérante au pompage-turbinage (voir art. 29a, al. 3, let. d, LEne).</t>
  </si>
  <si>
    <t>Production attendue qui sera attestée par des GO pendant l’année de mise en service
→ après investissement</t>
  </si>
  <si>
    <t>Valeur moyenne de l’électricité pour les pompes au cours des 5 derniers exercices
→ avant investissement</t>
  </si>
  <si>
    <t>Valeur attendue de l’électricité pour les pompes si la rénovation prévue n’était pas réalisée
→ en MWh</t>
  </si>
  <si>
    <t>Électricité pour les pompes attendue pendant l’année de mise en service
→ après investissement</t>
  </si>
  <si>
    <t>Facteur d’annualisation</t>
  </si>
  <si>
    <t>Annuité en CHF</t>
  </si>
  <si>
    <t>Coûts du capital OFEN</t>
  </si>
  <si>
    <t>Coûts du capital liés à l’investissement (amortissement + fonds propres +  fonds étrangers)</t>
  </si>
  <si>
    <t>Coûts d’exploitation liés à l’investissement</t>
  </si>
  <si>
    <r>
      <t>Coûts d’exploitation moyens avant</t>
    </r>
    <r>
      <rPr>
        <sz val="10"/>
        <color rgb="FFFF0000"/>
        <rFont val="Arial"/>
        <family val="2"/>
      </rPr>
      <t xml:space="preserve"> </t>
    </r>
    <r>
      <rPr>
        <sz val="10"/>
        <color rgb="FF000000"/>
        <rFont val="Arial"/>
        <family val="2"/>
      </rPr>
      <t>investissement</t>
    </r>
  </si>
  <si>
    <t>correspondant à 2 % des coûts d’investissement imputables</t>
  </si>
  <si>
    <t xml:space="preserve">Coûts liés à l’investissement générés par la gestion et la valorisation de l’énergie </t>
  </si>
  <si>
    <t>Production supplémentaire nette liée à l’investissement</t>
  </si>
  <si>
    <t>Centrale au fil de l’eau</t>
  </si>
  <si>
    <t>Centrale à accumulation</t>
  </si>
  <si>
    <t>Centrale à pompage-turbinage</t>
  </si>
  <si>
    <t>Ratio recettes supplémentaires/recettes totales day-ahead</t>
  </si>
  <si>
    <t>Seules sont éligibles les installations qui ont, après l’investissement, une puissance mécanique brute &gt; 3 MW.</t>
  </si>
  <si>
    <t>OEneR, annexe 6.1, ch. 4.1.1, let. c</t>
  </si>
  <si>
    <t>Coûts liés à l’investissement résultant de taxes et de prestations fournies à la collectivité publique</t>
  </si>
  <si>
    <t>Taxes et prestations moyennes avant investissement</t>
  </si>
  <si>
    <t>Redevance hydraulique</t>
  </si>
  <si>
    <t>Taxes et prestations imputables fournies à la collectivité publique</t>
  </si>
  <si>
    <t>Coûts de l’électricité pour les pompes d’alimentation</t>
  </si>
  <si>
    <t>Prix de l’électricité pour les pompes liée à l’investissement (en supposant que le projet ait déjà été réalisé)</t>
  </si>
  <si>
    <t>Électricité pour les pompes liée à l’investissement. Valeur attendue</t>
  </si>
  <si>
    <t>Coûts de l’électricité pour les pompes liés à l’investissement (en supposant que le projet ait déjà été réalisé)</t>
  </si>
  <si>
    <t>Coûts supplémentaires d’électricité pour les pompes d’alimentation</t>
  </si>
  <si>
    <t>Coûts de l’électricité pour les pompes servant au pompage-turbinage pur</t>
  </si>
  <si>
    <t>Coûts supplémentaires d’électricité pour les pompes servant au pompage-turbinage pur</t>
  </si>
  <si>
    <t>Coûts liés à l’investissement pour les impôts</t>
  </si>
  <si>
    <t>Amortissements (investissements imputables / durée d’utilisation pondérée en fonction des investissements)</t>
  </si>
  <si>
    <t>Coût des fonds propres avant impôts</t>
  </si>
  <si>
    <t>Impôts sur les fonds propres</t>
  </si>
  <si>
    <t>Coûts des impôts sur les fonds propres</t>
  </si>
  <si>
    <r>
      <t>Recettes des ventes </t>
    </r>
    <r>
      <rPr>
        <i/>
        <sz val="10"/>
        <color rgb="FF000000"/>
        <rFont val="Arial"/>
        <family val="2"/>
      </rPr>
      <t>day-ahead</t>
    </r>
  </si>
  <si>
    <t>Recettes des ventes au prix de marché de référence</t>
  </si>
  <si>
    <t>Avant investissement (installation existante). Résultat de l’optimisation avec les apports moyens des 5 dernières années hydrologiques</t>
  </si>
  <si>
    <r>
      <t>Après</t>
    </r>
    <r>
      <rPr>
        <sz val="10"/>
        <color rgb="FFFF0000"/>
        <rFont val="Arial"/>
        <family val="2"/>
      </rPr>
      <t xml:space="preserve"> </t>
    </r>
    <r>
      <rPr>
        <sz val="10"/>
        <color rgb="FF000000"/>
        <rFont val="Arial"/>
        <family val="2"/>
      </rPr>
      <t>investissement (installation modifiée). Résultat de l’optimisation avec les apports moyens des 5 dernières années hydrologiques</t>
    </r>
  </si>
  <si>
    <t>Recettes supplémentaires résultant de l’investissement</t>
  </si>
  <si>
    <r>
      <t xml:space="preserve">Recettes supplémentaires des ventes </t>
    </r>
    <r>
      <rPr>
        <i/>
        <sz val="10"/>
        <color rgb="FF000000"/>
        <rFont val="Arial"/>
        <family val="2"/>
      </rPr>
      <t>day-ahead</t>
    </r>
  </si>
  <si>
    <t>Recettes supplémentaires des ventes au prix de référence du marché</t>
  </si>
  <si>
    <t>Avec production, sans nouvelle capacité de stockage</t>
  </si>
  <si>
    <t>Avant investissement (installation existante)</t>
  </si>
  <si>
    <t>Recettes supplémentaires</t>
  </si>
  <si>
    <t>Recettes générées par les couvertures à terme sur le marché à terme</t>
  </si>
  <si>
    <t>Avant investissement (valeur moyenne sur 5 ans)</t>
  </si>
  <si>
    <t>Après investissement (valeur attendue)</t>
  </si>
  <si>
    <t>Énergie de substitution/énergie de compensation pour retenue d’eau/énergie de remplacement</t>
  </si>
  <si>
    <t>Production par pompage-turbinage pur</t>
  </si>
  <si>
    <t>Énergie de concession</t>
  </si>
  <si>
    <t>Valeur attendue de la production à couvrir</t>
  </si>
  <si>
    <t>Part à couvrir</t>
  </si>
  <si>
    <t>Production à couvrir</t>
  </si>
  <si>
    <r>
      <t xml:space="preserve">Recettes moyennes sur le marché </t>
    </r>
    <r>
      <rPr>
        <i/>
        <sz val="10"/>
        <color rgb="FF000000"/>
        <rFont val="Arial"/>
        <family val="2"/>
      </rPr>
      <t>day-ahead</t>
    </r>
  </si>
  <si>
    <t>Évaluation pour la production à couvrir</t>
  </si>
  <si>
    <t>Recettes générées par les couvertures sur le marché à terme</t>
  </si>
  <si>
    <t xml:space="preserve">(Moyenne de la période de négoce T4 </t>
  </si>
  <si>
    <t xml:space="preserve"> à T3 </t>
  </si>
  <si>
    <t>, voir onglet "Termin &amp; FX")</t>
  </si>
  <si>
    <t>Recettes supplémentaires générées par les couvertures sur le marché à terme</t>
  </si>
  <si>
    <t>Recettes liées à l’investissement générées par la vente de services-système</t>
  </si>
  <si>
    <t>Type de prestations de services-système en résultant</t>
  </si>
  <si>
    <t>Puissance installée supplémentaire résultant de l’investissement</t>
  </si>
  <si>
    <t>(contrôlable &gt;= 3 MW (Co), non contrôlable ou &lt;3 MW (nCo), centrale à pompage-turbinage ou centrale à pompage-turbinage pur (PT))</t>
  </si>
  <si>
    <t>Recettes supplémentaires générées par les prestations de services-système</t>
  </si>
  <si>
    <t>Recettes liées à l’investissement générées par les GO</t>
  </si>
  <si>
    <t>Recettes supplémentaires générées par les GO</t>
  </si>
  <si>
    <t>Recettes liées à l’investissement générées par la réserve d’hiver</t>
  </si>
  <si>
    <t xml:space="preserve">Capacité de stockage supplémentaire liée à l’investissement </t>
  </si>
  <si>
    <t>Part de la quantité d’énergie à conserver pour l’ensemble de la réserve hydroélectrique suisse</t>
  </si>
  <si>
    <t>Capacité de stockage supplémentaire liée à l’investissement et devant être rémunérée</t>
  </si>
  <si>
    <t>Taux de l’indemnisation forfaitaire</t>
  </si>
  <si>
    <t>Recettes supplémentaires générées par la réserve d’hiver</t>
  </si>
  <si>
    <t>Les coûts annuels correspondants sont répartis par mois proportionnellement à la production supplémentaire.</t>
  </si>
  <si>
    <t>Production supplémentaire résultant de l’investissement
(sans nouvelle capacité de stockage)</t>
  </si>
  <si>
    <t>Production supplémentaire résultant de l’investissement (y compris nouvelle capacité de stockage)</t>
  </si>
  <si>
    <r>
      <t xml:space="preserve">Recettes </t>
    </r>
    <r>
      <rPr>
        <i/>
        <sz val="10"/>
        <color rgb="FF000000"/>
        <rFont val="Arial"/>
        <family val="2"/>
      </rPr>
      <t>day-ahead</t>
    </r>
    <r>
      <rPr>
        <sz val="10"/>
        <color rgb="FF000000"/>
        <rFont val="Arial"/>
        <family val="2"/>
      </rPr>
      <t xml:space="preserve"> (spécifique)</t>
    </r>
  </si>
  <si>
    <t>Recettes des ventes au prix de marché de référence (spécifique)</t>
  </si>
  <si>
    <r>
      <t xml:space="preserve">Recettes </t>
    </r>
    <r>
      <rPr>
        <i/>
        <sz val="10"/>
        <color rgb="FF000000"/>
        <rFont val="Arial"/>
        <family val="2"/>
      </rPr>
      <t xml:space="preserve">day-ahead </t>
    </r>
    <r>
      <rPr>
        <sz val="10"/>
        <color rgb="FF000000"/>
        <rFont val="Arial"/>
        <family val="2"/>
      </rPr>
      <t>(absolu)</t>
    </r>
  </si>
  <si>
    <t>Recettes des ventes au prix de marché de référence (absolue)</t>
  </si>
  <si>
    <t>Recettes provenant du marché des services-système</t>
  </si>
  <si>
    <t>Recettes générées par les GO</t>
  </si>
  <si>
    <t>La répartition des coûts annuels par mois est proportionnelle à la production supplémentaire.</t>
  </si>
  <si>
    <t>Coûts du capital (annuité, hors TVA)</t>
  </si>
  <si>
    <t xml:space="preserve">Coûts générés par la gestion et la valorisation de l’énergie    </t>
  </si>
  <si>
    <t>Taxes et prestations fournies à la collectivité publique</t>
  </si>
  <si>
    <t>Part excédentaire des mois de décembre à mars</t>
  </si>
  <si>
    <t>Part à retenir</t>
  </si>
  <si>
    <t>Impôts sur le bénéfice concernant la part à retenir encore dus pour le projet</t>
  </si>
  <si>
    <t>Prime de marché flottante</t>
  </si>
  <si>
    <t>Compte de pertes et profits</t>
  </si>
  <si>
    <t>Produit</t>
  </si>
  <si>
    <r>
      <t xml:space="preserve">Ventes </t>
    </r>
    <r>
      <rPr>
        <i/>
        <sz val="10"/>
        <color rgb="FF000000"/>
        <rFont val="Arial"/>
        <family val="2"/>
      </rPr>
      <t>day-ahead</t>
    </r>
  </si>
  <si>
    <t>Ventes au prix de référence du marché</t>
  </si>
  <si>
    <t>Couvertures sur le marché à terme</t>
  </si>
  <si>
    <t>Marché des services-système</t>
  </si>
  <si>
    <t>Garanties d’origine (GO)</t>
  </si>
  <si>
    <t>Réserve d’hiver</t>
  </si>
  <si>
    <t>Coûts générés par la gestion et la valorisation de l’énergie</t>
  </si>
  <si>
    <t>Redevances et prestations fournies à la collectivité publique (redevance hydraulique comprise)</t>
  </si>
  <si>
    <t>Amortissements</t>
  </si>
  <si>
    <t>Impôts sur le bénéfice concernant les coûts des fonds propres (avant impôts)</t>
  </si>
  <si>
    <t>Impôts sur le bénéfice concernant la part à retenir</t>
  </si>
  <si>
    <t>Coûts des fonds propres</t>
  </si>
  <si>
    <t>Bénéfice après déduction des coûts des fonds propres</t>
  </si>
  <si>
    <t>+ du fonds alimenté par le supplément réseau vers le projet, - du projet vers le fonds alimenté par le supplément réseau</t>
  </si>
  <si>
    <r>
      <t xml:space="preserve">Ventes </t>
    </r>
    <r>
      <rPr>
        <i/>
        <sz val="10"/>
        <rFont val="Arial"/>
        <family val="2"/>
      </rPr>
      <t>day-ahead</t>
    </r>
  </si>
  <si>
    <t>+ dal Fondo per il supplemento rete (FSR) dal progetto, - dal progetto al FSR</t>
  </si>
  <si>
    <t xml:space="preserve">Part restante à retenir dans le cadre du projet </t>
  </si>
  <si>
    <t>Chiffres-clés</t>
  </si>
  <si>
    <t>Coûts du capital</t>
  </si>
  <si>
    <t>Redevances et prestations fournies à la collectivité publique</t>
  </si>
  <si>
    <t>Part à retenir (après impôts)</t>
  </si>
  <si>
    <t>Coûts annuels résultant de l’investissement</t>
  </si>
  <si>
    <t>Recettes résultant de l’investissement</t>
  </si>
  <si>
    <t>Production supplémentaire résultant de l’investissement (sans nouvelle capacité de stockage)</t>
  </si>
  <si>
    <t>Prix de marché de référence</t>
  </si>
  <si>
    <t>Taux de rétribution</t>
  </si>
  <si>
    <t>CHF, + du fonds alimenté par le supplément réseau vers le projet, - du projet vers le fonds alimenté par le supplément réseau</t>
  </si>
  <si>
    <t>Pourcentage à déterminer chaque année pour calculer la production supplémentaire résultant de l’investissement, les coûts d’exploitation et les redevances</t>
  </si>
  <si>
    <t>Recettes supplémentaires résultant de l’investissement (uniquement day-ahead)</t>
  </si>
  <si>
    <t>Recettes totales résultant de l’investissement (uniquement day-ahead)</t>
  </si>
  <si>
    <t>Pourcentage</t>
  </si>
  <si>
    <t>Niveau initial</t>
  </si>
  <si>
    <t>Maintenir jusqu’à la fin de l’année</t>
  </si>
  <si>
    <t>Augmenter/abaisser pendant x années</t>
  </si>
  <si>
    <t>Prix de base annuel, en CHF/MWh</t>
  </si>
  <si>
    <t>Année de fin de la concession</t>
  </si>
  <si>
    <t>Durée d’utilisation pondérée en fonction des investissements</t>
  </si>
  <si>
    <t>Investissements imputables</t>
  </si>
  <si>
    <t>Investissements par unité de production supplémentaire qui résulte de l’investissement (sans nouvelle capacité de stockage)</t>
  </si>
  <si>
    <t>Investissements par unité de production supplémentaire qui résulte de l’investissement (y compris nouvelle capacité de stockage)</t>
  </si>
  <si>
    <t>Ventes au prix de marché de référence</t>
  </si>
  <si>
    <t xml:space="preserve">Recettes résultant de l’investissement </t>
  </si>
  <si>
    <t>Prime de marché flottante absolue
qui aurait pu être obtenue avec les données de l'année précédente
(+ du fonds alimenté par le supplément réseau vers le projet, - du projet vers le fonds alimenté par le supplément réseau</t>
  </si>
  <si>
    <t>Durée de la concession = phase d’exploitation en années</t>
  </si>
  <si>
    <t>Durée en années de la prime de marché flottante</t>
  </si>
  <si>
    <t>Prix annuel "base", en CHF/MWh</t>
  </si>
  <si>
    <t>Prix à terme pour une couverture de 80 % de la production nette, en CHF/MWh</t>
  </si>
  <si>
    <t>Production supplémentaire résultant de l’investissement (sans nouvelle capacité de stockage), en MWh</t>
  </si>
  <si>
    <t xml:space="preserve">Impôts sur le bénéfice concernant les coûts des fonds propres (avant impôts) </t>
  </si>
  <si>
    <t>- Charges</t>
  </si>
  <si>
    <t>Durée de construction en années</t>
  </si>
  <si>
    <t>Prime de marché flottante
(+ du fonds alimenté par le supplément réseau vers le projet, - du projet vers le fonds alimenté par le supplément réseau)</t>
  </si>
  <si>
    <t>- Amortissements</t>
  </si>
  <si>
    <t>- Impôts sur le bénéfice concernant les coûts des fonds propres (avant impôts)</t>
  </si>
  <si>
    <t>- Impôts sur le bénéfice concernant la part à retenir</t>
  </si>
  <si>
    <t>- Coût des fonds propres</t>
  </si>
  <si>
    <t>Année d’évaluation</t>
  </si>
  <si>
    <t>Nombres d’années d’encouragement</t>
  </si>
  <si>
    <t>Prix des GO</t>
  </si>
  <si>
    <t>Taux d’imposition moyen sur le bénéfice en Suisse</t>
  </si>
  <si>
    <t>du prix de marché de référence visé à l’art. 15 OEneR</t>
  </si>
  <si>
    <t>Prestations de services-système</t>
  </si>
  <si>
    <t>Coût total de la conservation et du recours à la réserve</t>
  </si>
  <si>
    <t>Coût total de la conservation et du recours à la réserve, en CHF</t>
  </si>
  <si>
    <t>Part de l’énergie hydraulique suisse</t>
  </si>
  <si>
    <t>Puissance par catégorie</t>
  </si>
  <si>
    <t>Primaire</t>
  </si>
  <si>
    <t>Secondaire</t>
  </si>
  <si>
    <t>Tertiaire</t>
  </si>
  <si>
    <t>Clé de répartition</t>
  </si>
  <si>
    <r>
      <t>Non contrôlable et &lt; 3 MW (</t>
    </r>
    <r>
      <rPr>
        <b/>
        <sz val="10"/>
        <color rgb="FF000000"/>
        <rFont val="Arial"/>
        <family val="2"/>
      </rPr>
      <t>nCo</t>
    </r>
    <r>
      <rPr>
        <sz val="10"/>
        <color rgb="FF000000"/>
        <rFont val="Arial"/>
        <family val="2"/>
      </rPr>
      <t>)</t>
    </r>
  </si>
  <si>
    <r>
      <t>Contrôlable et &gt;= 3 MW (</t>
    </r>
    <r>
      <rPr>
        <b/>
        <sz val="10"/>
        <color rgb="FF000000"/>
        <rFont val="Arial"/>
        <family val="2"/>
      </rPr>
      <t>Co</t>
    </r>
    <r>
      <rPr>
        <sz val="10"/>
        <color rgb="FF000000"/>
        <rFont val="Arial"/>
        <family val="2"/>
      </rPr>
      <t>)</t>
    </r>
  </si>
  <si>
    <r>
      <t>Centrale à pompage-turbinage et centrale à pompage-turbinage pur (</t>
    </r>
    <r>
      <rPr>
        <b/>
        <sz val="10"/>
        <color rgb="FF000000"/>
        <rFont val="Arial"/>
        <family val="2"/>
      </rPr>
      <t>PT</t>
    </r>
    <r>
      <rPr>
        <sz val="10"/>
        <color rgb="FF000000"/>
        <rFont val="Arial"/>
        <family val="2"/>
      </rPr>
      <t>)</t>
    </r>
  </si>
  <si>
    <t>Prix de marché de référence visé à l’art. 15 OEneR</t>
  </si>
  <si>
    <t>Quantité totale d’énergie produite par toutes les centrales à accumulation suisses …</t>
  </si>
  <si>
    <t>… à partir d’un volume d’accumulation de</t>
  </si>
  <si>
    <t>Quantité d’énergie à conserver pour l’ensemble de la réserve hydroélectrique suisse</t>
  </si>
  <si>
    <t>Prix moyen Maturity T4/2023 – T3/2024 DEBQ et DEBY</t>
  </si>
  <si>
    <t>Prix sur le marché à terme</t>
  </si>
  <si>
    <t>Moyenne mensuelle/Fin du mois</t>
  </si>
  <si>
    <t>Contrôle</t>
  </si>
  <si>
    <t>du</t>
  </si>
  <si>
    <t>au</t>
  </si>
  <si>
    <t>Type d’investissement</t>
  </si>
  <si>
    <t>Distinction en fonction de la contrôlabilité et de la taille</t>
  </si>
  <si>
    <t>Contrôlable et &gt; 3 MWbr</t>
  </si>
  <si>
    <t>Non contrôlable et &gt; 3 MWbr</t>
  </si>
  <si>
    <t>Toutes les garanties d’origine (GO)</t>
  </si>
  <si>
    <t>Les garanties d’origines délivrées pour l’installation agrandie, moins les garanties qui auraient été délivrées pour l’installation avant l’agrandissement</t>
  </si>
  <si>
    <t>Les garanties d’origines délivrées pour l’installation rénovée, moins les garanties qui auraient été délivrées pour les parties de l’installation non rénovées</t>
  </si>
  <si>
    <t>Contributions d'investissement pour petites et grandes intallations hydroélectriques</t>
  </si>
  <si>
    <t>Modèle pour la liste des coûts d’investissement (supplément aux instructions pour la liste des coûts d’investissement)</t>
  </si>
  <si>
    <t>Année de l’expiration de la concession</t>
  </si>
  <si>
    <t>Existence d’une convention sur la valeur résiduelle (art. 61, al. 4, OEneR)</t>
  </si>
  <si>
    <t>Réduction CI en % (art. 61, al. 4, OEneR)</t>
  </si>
  <si>
    <t>Date de l’estimation des coûts</t>
  </si>
  <si>
    <t>Nouvelle ligne: Accueil / Insérer / Insérer des lignes dans la feuille de calcul,</t>
  </si>
  <si>
    <t>copier ensuite la formule ici</t>
  </si>
  <si>
    <t>Cellules modifiables ou à modifier</t>
  </si>
  <si>
    <t xml:space="preserve">Coûts d’investissement [CHF hors TVA] </t>
  </si>
  <si>
    <t>Durée d’utilisation</t>
  </si>
  <si>
    <t>Plan de référence nº</t>
  </si>
  <si>
    <t>Total des coûts d’investissement  [CHF]</t>
  </si>
  <si>
    <t xml:space="preserve">Coûts d’investissement imputables [CHF] </t>
  </si>
  <si>
    <t>Coûts d’investissement non imputables [CHF]</t>
  </si>
  <si>
    <t>Contrôle sommes imputables/non imputables</t>
  </si>
  <si>
    <t>Galerie d’amenée d’eau (ouvrages annexes)</t>
  </si>
  <si>
    <t>Puits d’amenée d’eau (ouvrages annexes)</t>
  </si>
  <si>
    <t xml:space="preserve">Conduite en charge (ouvrages annexes) </t>
  </si>
  <si>
    <t>Grilles et/ou dégrillage</t>
  </si>
  <si>
    <t>Organe ferm. (vanne, clapet, vanne papillon et vanne sphérique)</t>
  </si>
  <si>
    <t>Installations pour les propres besoins et groupes électrogènes de secours</t>
  </si>
  <si>
    <t>Ouvrages d’amenée ou de refoulement (amont et aval)</t>
  </si>
  <si>
    <t>Conduite en charge</t>
  </si>
  <si>
    <t>Bâtiment de la centrale (en surface)</t>
  </si>
  <si>
    <t>Postes de couplage au niveau de tension des générateurs/moteurs</t>
  </si>
  <si>
    <t>Équipement à haute tension</t>
  </si>
  <si>
    <t>Postes de couplage au niveau de tension du raccordement au réseau</t>
  </si>
  <si>
    <t>Écluses</t>
  </si>
  <si>
    <t>Dispositif pour la migration des poissons vers l’amont et vers l’aval</t>
  </si>
  <si>
    <t>Construction pour voies transport et d’accès (routes, ponts, murs de soutènement, etc.)</t>
  </si>
  <si>
    <t>Installations à câbles</t>
  </si>
  <si>
    <t>Bâtiment d’exploitation</t>
  </si>
  <si>
    <t>Mesures de remplacement, mesures de compensation</t>
  </si>
  <si>
    <t>Coûts d’acquisition de terrain et coûts accessoires</t>
  </si>
  <si>
    <t>Coûts de planification</t>
  </si>
  <si>
    <t>Coûts de direction des travaux</t>
  </si>
  <si>
    <t>Production attestée par des GO</t>
  </si>
  <si>
    <t>potenza lordan (calcolata coi salti e i deflussi utili).</t>
  </si>
  <si>
    <t>CHF, + dal FSR al progetto, - dal progetto al FSR</t>
  </si>
  <si>
    <t>Premio di mercato fluttuante
(+ dal FSR al progetto, - dal progetto al FSR)</t>
  </si>
  <si>
    <r>
      <rPr>
        <b/>
        <sz val="10"/>
        <color theme="1"/>
        <rFont val="Arial"/>
        <family val="2"/>
      </rPr>
      <t>Disclaimer:</t>
    </r>
    <r>
      <rPr>
        <sz val="10"/>
        <color theme="1"/>
        <rFont val="Arial"/>
        <family val="2"/>
      </rPr>
      <t xml:space="preserve">
Bitte nehmen Sie zur Kenntnis, dass der Modellrechner nur ein Hilfsmittel ist, um ein besseres und gemeinsames Verständnis zur Abschätzung der gleitenden Marktprämie Wasserkraft zu erlangen und weder für den Vergütungssatz noch für die Erlöse keine vollzugsfertige Version ist. Für den Modellrechner und dessen Resultate wird keinerlei Gewähr übernommen. Die für das Instrument der gleitenden Marktprämie relevanten Berechnungen erfolgen ausschliesslich gemäss der Verfügung und jährlich im Vollzug.</t>
    </r>
  </si>
  <si>
    <r>
      <rPr>
        <b/>
        <sz val="10"/>
        <color theme="1"/>
        <rFont val="Arial"/>
        <family val="2"/>
      </rPr>
      <t>Disclaimer:</t>
    </r>
    <r>
      <rPr>
        <sz val="10"/>
        <color theme="1"/>
        <rFont val="Arial"/>
        <family val="2"/>
      </rPr>
      <t xml:space="preserve">
Veuillez noter que le calculateur type n'est qu'un outil auxiliaire destiné à permettre une meilleure compréhension commune de l'estimation de la prime variable du marché pour l'énergie hydroélectrique. Il ne s'agit en aucun cas d'une version définitive, ni pour le taux de rémunération, ni pour les recettes. Nous déclinons toute responsabilité quant au calculateur type et à ses résultats. Les calculs pertinents pour l'outil de prime variable du marché sont effectués exclusivement conformément à la décision et annuellement lors de la mise en œuvre.</t>
    </r>
  </si>
  <si>
    <r>
      <rPr>
        <b/>
        <sz val="10"/>
        <color theme="1"/>
        <rFont val="Arial"/>
        <family val="2"/>
      </rPr>
      <t>Disclaimer:</t>
    </r>
    <r>
      <rPr>
        <sz val="10"/>
        <color theme="1"/>
        <rFont val="Arial"/>
        <family val="2"/>
      </rPr>
      <t xml:space="preserve">
Si prega di notare che il modello di calcolo è solo uno strumento ausiliario per ottenere una comprensione migliore e comune della stima del premio di mercato fluttuante per l'energia idroelettrica e non è una versione definitiva né per il tasso di rimunerazione né per i ricavi. Non si assume alcuna responsabilità per il modello di calcolo e i suoi risultati. I calcoli rilevanti per lo strumento del premio di mercato fluttuante vengono effettuati esclusivamente in conformità alla decisione e annualmente in fase di esecuzione.</t>
    </r>
  </si>
  <si>
    <t>ID</t>
  </si>
  <si>
    <t>Blatt</t>
  </si>
  <si>
    <t>Zelle</t>
  </si>
  <si>
    <t>Anpassung</t>
  </si>
  <si>
    <t>D229</t>
  </si>
  <si>
    <t>D230</t>
  </si>
  <si>
    <t>Maximale Vergütungssätze</t>
  </si>
  <si>
    <t>Fr./MWh</t>
  </si>
  <si>
    <t>J3:K6</t>
  </si>
  <si>
    <t>Allg, …</t>
  </si>
  <si>
    <t>maximaler Vergütungssatz</t>
  </si>
  <si>
    <t>F229</t>
  </si>
  <si>
    <t>Import des max. Vergütungssatzes</t>
  </si>
  <si>
    <t>Definition der maximalen Vergütungssätze. Der Vergütungssatz soll die Deckelung aus Art. 30b Abs. 3 erhalten (erh. Erneuerungen 10 Rp/kWh; erh. Erweiterungen und Neuanlagen 30 Rp/kWh)</t>
  </si>
  <si>
    <t>Wer</t>
  </si>
  <si>
    <t>put</t>
  </si>
  <si>
    <t>Wann</t>
  </si>
  <si>
    <t>Formel so angepasst, dass max. Vergütungssatz greift. Die spezifische gMP wird entsprechend nach unten korrigiert.</t>
  </si>
  <si>
    <t>D62</t>
  </si>
  <si>
    <t>D72</t>
  </si>
  <si>
    <t>Referenzierung auf gMP, welche den max. Vergütungssatz berücksichtigt (D35)</t>
  </si>
  <si>
    <t>Gewinn berechnen, dass max. Vergütungssatz berücksichtigt wird</t>
  </si>
  <si>
    <t>F225</t>
  </si>
  <si>
    <t>F228</t>
  </si>
  <si>
    <t>D226</t>
  </si>
  <si>
    <t>gleitende Marktprämie ohne Berücksichtigung des max. Vergütungssatzes</t>
  </si>
  <si>
    <t>B195</t>
  </si>
  <si>
    <t>Text angepasst</t>
  </si>
  <si>
    <t>B191</t>
  </si>
  <si>
    <t>B194</t>
  </si>
  <si>
    <t>gMP mit Berücksichtigung des max. Vergütungssatzes (spezifisch)</t>
  </si>
  <si>
    <t>gMP mit Berücksichtigung des max. Vergütungssatzes (absolut)</t>
  </si>
  <si>
    <t>B230</t>
  </si>
  <si>
    <t>B231</t>
  </si>
  <si>
    <t>B226</t>
  </si>
  <si>
    <t>B227</t>
  </si>
  <si>
    <t>B229</t>
  </si>
  <si>
    <t>E74:DB79</t>
  </si>
  <si>
    <t>ergänzt um die jährliche gMP unter Berücksichtigung des max. Vergütungssatzes zu berechnen</t>
  </si>
  <si>
    <t>G62:DB62</t>
  </si>
  <si>
    <t>referenziert auf G79:DB79</t>
  </si>
  <si>
    <t>tasso di rimunerazione massimo</t>
  </si>
  <si>
    <t>Taux de rétribution maximal</t>
  </si>
  <si>
    <t>Prime de marché flottante en tenant compte du taux de rétriubution maximal (spécifique)</t>
  </si>
  <si>
    <t>Prime de marché flottante en tenant compte du taux de rétriubution maximal (absolu)</t>
  </si>
  <si>
    <t>premio di mercato fluttuante tenendo conto del tasso di rimunerazione (specifico)</t>
  </si>
  <si>
    <t>Prime de marché flottante sans prise en compte du taux de rétriubution maximal</t>
  </si>
  <si>
    <t>premio di mercato fluttuante  tenendo conto del tasso di rimunerazione (assoluto)</t>
  </si>
  <si>
    <t xml:space="preserve">premio di mercato fluttuante senza considerazione del tasso di rimunerazione </t>
  </si>
  <si>
    <t>Produktion brutto-netto: = Verluste + Eigenbedarf*</t>
  </si>
  <si>
    <t>*Eigenbedarf: Elektrische Energie, die für den unmittelbaren Betrieb der Erzeugungsanlage benötigt wird.</t>
  </si>
  <si>
    <t>*consommation propre: Énergie électrique nécessaire au fonctionnement immédiat de l'installation de production.</t>
  </si>
  <si>
    <t>*consumo proprio: Energia elettrica necessaria per il funzionamento immediato dell'impianto di produzione.</t>
  </si>
  <si>
    <t>Sprachen</t>
  </si>
  <si>
    <t>A61:C61</t>
  </si>
  <si>
    <t>Eigenverbrauch durch Eigenbedarf ersetz</t>
  </si>
  <si>
    <t>A63:C63</t>
  </si>
  <si>
    <t>A4:C4</t>
  </si>
  <si>
    <t>Version aktualisiert auf September 25</t>
  </si>
  <si>
    <t>1. Sprache / langue / lingua</t>
  </si>
  <si>
    <t>Gleitende Marktprämie und Investitionsbeitrag (Entscheidung später)</t>
  </si>
  <si>
    <t>2. Gesuch</t>
  </si>
  <si>
    <t>2. Demande</t>
  </si>
  <si>
    <t>2. Domanda</t>
  </si>
  <si>
    <t>3. Definition des Projekts</t>
  </si>
  <si>
    <t>3. Définition du projet</t>
  </si>
  <si>
    <t>3. Definizione del progetto</t>
  </si>
  <si>
    <t>Domanda per</t>
  </si>
  <si>
    <t>Gesuch um</t>
  </si>
  <si>
    <t xml:space="preserve">Demande de </t>
  </si>
  <si>
    <t>Premio di mercato fluttuante</t>
  </si>
  <si>
    <r>
      <t xml:space="preserve">Prime de marché flottante et contribution d'investissement </t>
    </r>
    <r>
      <rPr>
        <sz val="10"/>
        <rFont val="Arial"/>
        <family val="2"/>
      </rPr>
      <t>(décision ultérieure)</t>
    </r>
  </si>
  <si>
    <t>Gross- / Kleinwasserkraft</t>
  </si>
  <si>
    <t>Grande / petite installation hydraulique</t>
  </si>
  <si>
    <t>Grande / piccolo impianto idroelettrico</t>
  </si>
  <si>
    <t>Grosswasserkraftanlage (Leistung &gt; 10 MWbr)</t>
  </si>
  <si>
    <t>Grande installation hydraulique (puissance supérieure à 10MWbr)</t>
  </si>
  <si>
    <t>Grande pianto idroelettrico (potenza superiore a 10 MWbr)</t>
  </si>
  <si>
    <t>Kleinwasserkraftanlage (Leistung &lt;= 10 MWbr)</t>
  </si>
  <si>
    <t>Petite installation hydraulique (puissance jusqu'à 10 MWbr)</t>
  </si>
  <si>
    <t>Piccolo impianto idroelettrico (potenza inferiore a 10 MWbr)</t>
  </si>
  <si>
    <t>4. Bitte füllen Sie die folgenden Excel-Blätter aus</t>
  </si>
  <si>
    <t>5. Unterschreiben Sie Blatt 1</t>
  </si>
  <si>
    <t>vollständig ausgefülltes Blatt elektronisch unterschreiben oder ausdrucken, unterschreiben und als PDF beilegen</t>
  </si>
  <si>
    <t>6. Reichen Sie die Excel-Datei und die Beilagen (PDF) ein via</t>
  </si>
  <si>
    <t>1. Allgemeine Angaben</t>
  </si>
  <si>
    <t>Gesuchsteller/in</t>
  </si>
  <si>
    <t>Vorname, Name</t>
  </si>
  <si>
    <t>Strasse / Nr.</t>
  </si>
  <si>
    <t>Funktion</t>
  </si>
  <si>
    <t>PLZ / Ort</t>
  </si>
  <si>
    <t>Bezeichnung</t>
  </si>
  <si>
    <t>Koordinaten oder Strasse, Nr.</t>
  </si>
  <si>
    <t>Koordinaten</t>
  </si>
  <si>
    <t>Gewässer</t>
  </si>
  <si>
    <t>weitere Zeilen nach Bedarf einfügen</t>
  </si>
  <si>
    <t>Reservoire</t>
  </si>
  <si>
    <t>Wasserrückgaben</t>
  </si>
  <si>
    <t>Investitionstyp</t>
  </si>
  <si>
    <t>2. Baureife</t>
  </si>
  <si>
    <t>Baureife</t>
  </si>
  <si>
    <t>Eine Baubewilligung ist nicht erforderlich, das Projekt ist baureif</t>
  </si>
  <si>
    <t>3. Termine</t>
  </si>
  <si>
    <t>Termine</t>
  </si>
  <si>
    <t>Geplante Inbetriebnahme</t>
  </si>
  <si>
    <t>Ablauf der Konzession</t>
  </si>
  <si>
    <t>4. Antrag auf früheren Baubeginn</t>
  </si>
  <si>
    <t>Antrag</t>
  </si>
  <si>
    <t>Ich beantrage keine Bewilligung des früheren Baubeginns</t>
  </si>
  <si>
    <t>Text (oder Beilage)</t>
  </si>
  <si>
    <t>5. Investitionskosten (exkl. MwSt.)</t>
  </si>
  <si>
    <t>Investitionskosten total</t>
  </si>
  <si>
    <t>Werte aus Blatt 3</t>
  </si>
  <si>
    <t>davon anrechenbar</t>
  </si>
  <si>
    <t>davon nicht anrechenbar</t>
  </si>
  <si>
    <t>Finanzhilfen</t>
  </si>
  <si>
    <t>Art der Finanzhilfe</t>
  </si>
  <si>
    <t>Zuständige Behörde</t>
  </si>
  <si>
    <t>Betrag in CHF</t>
  </si>
  <si>
    <t>Stand</t>
  </si>
  <si>
    <t>7. Technische Angaben</t>
  </si>
  <si>
    <t>8. Ausnahmen Leistungsuntergrenzen</t>
  </si>
  <si>
    <t>Ausnahme von der Leistungsuntergrenze von 1 MWbr für Neuanlagen bzw. 300 kWbr für erhebliche Erweiterungen und Erneuerungen</t>
  </si>
  <si>
    <t>Ausnahme</t>
  </si>
  <si>
    <t>Nebennutzungsanlage (Art. 26 Abs. 4 EnG)</t>
  </si>
  <si>
    <t>Prozent</t>
  </si>
  <si>
    <t>Wert aus Blatt 3</t>
  </si>
  <si>
    <t>10. Antrag Investitionsbeitrag</t>
  </si>
  <si>
    <t>Beitragssatz</t>
  </si>
  <si>
    <t>Wert aus Blatt 1b</t>
  </si>
  <si>
    <t>Berechneter Wert</t>
  </si>
  <si>
    <t>Verzeichnis der Beilagen</t>
  </si>
  <si>
    <t>Pflichtbeilagen</t>
  </si>
  <si>
    <t>Beilage</t>
  </si>
  <si>
    <t>Bemerkungen, Name des Dokuments etc.</t>
  </si>
  <si>
    <t>Nachweis der Baureife und Bestätigung der Baubewilligungsfreiheit durch die zuständige Behörde</t>
  </si>
  <si>
    <t>Nachweis über die Gültigkeit des Wassernutzungsrechts</t>
  </si>
  <si>
    <t>Projektbeschrieb</t>
  </si>
  <si>
    <t>Technische Beschreibung der Anlage inkl. Pläne Bauprojekt</t>
  </si>
  <si>
    <t>Terminplan</t>
  </si>
  <si>
    <t>Begründung und Belege zur Ausnahme von der Leistungsuntergrenze</t>
  </si>
  <si>
    <t>Begründung und Belege zum Antrag auf früheren Baubeginn</t>
  </si>
  <si>
    <t>Restwertvereinbarung</t>
  </si>
  <si>
    <t>Unterschrift</t>
  </si>
  <si>
    <t>Ort</t>
  </si>
  <si>
    <t>Datum</t>
  </si>
  <si>
    <t>Firma</t>
  </si>
  <si>
    <r>
      <t xml:space="preserve">Baureife: Rechtskräftige Baubewilligung inkl. Rechtskraftbescheinigung, </t>
    </r>
    <r>
      <rPr>
        <u/>
        <sz val="10"/>
        <color theme="1"/>
        <rFont val="Arial"/>
        <family val="2"/>
      </rPr>
      <t>oder</t>
    </r>
  </si>
  <si>
    <t>a.</t>
  </si>
  <si>
    <t>b.</t>
  </si>
  <si>
    <t>c.</t>
  </si>
  <si>
    <t>d.</t>
  </si>
  <si>
    <t>e.</t>
  </si>
  <si>
    <t>mindestens eine Hauptkomponente wie Wasserfassung, Zubringerpumpen, Wehr, Speicher, Druckleitung, Maschinen oder elektromechanische Ausrüstung der Anlage ersetzt oder totalsaniert wird; und</t>
  </si>
  <si>
    <t>1b Beitragssatz IB</t>
  </si>
  <si>
    <t>Beitragssatz bestimmen</t>
  </si>
  <si>
    <t>Normalfall</t>
  </si>
  <si>
    <t>Lineare Interpolation</t>
  </si>
  <si>
    <t>Die rechtskräftige Baubewilligung liegt vor</t>
  </si>
  <si>
    <t>Früherer Baubeginn</t>
  </si>
  <si>
    <t>Ich beantrage die Bewilligung des früheren Baubeginns</t>
  </si>
  <si>
    <t>Ausnahmen Leistungsuntergrenzen</t>
  </si>
  <si>
    <t>Dotierkraftwerk (Art. 9 Abs. 1 Bst. a EnFV)</t>
  </si>
  <si>
    <t>Anlage an künstlich geschaffenem Hochwasserentlastungskanal, Industriekanal, bestehendem Ausleit- oder Unterwasserkanal (Art. 9 Abs. 1 Bst. b EnFV)</t>
  </si>
  <si>
    <t>Anlagen, an denen Sanierungsmassnahmen nach GschG oder BGF umgesetzt werden oder wurden (Art. 9 Abs.3 EnFV)</t>
  </si>
  <si>
    <t>keine Ausnahme nötig</t>
  </si>
  <si>
    <t>JA</t>
  </si>
  <si>
    <t>NEIN</t>
  </si>
  <si>
    <t>OUI</t>
  </si>
  <si>
    <t>NON</t>
  </si>
  <si>
    <t>SI</t>
  </si>
  <si>
    <t>NO</t>
  </si>
  <si>
    <t>JA/NEIN</t>
  </si>
  <si>
    <t>OUI/NON</t>
  </si>
  <si>
    <t>SI/NO</t>
  </si>
  <si>
    <t>1. Allgemeine technische Angaben</t>
  </si>
  <si>
    <t>Differenz</t>
  </si>
  <si>
    <t>Mittlere mechanische Bruttoleistung des Wassers</t>
  </si>
  <si>
    <t>MWbr</t>
  </si>
  <si>
    <t>Installierte Leistung Zubringerpumpen</t>
  </si>
  <si>
    <t>Installierte Leistung Umwälzpumpen</t>
  </si>
  <si>
    <t>Schluckvermögen Turbinen</t>
  </si>
  <si>
    <t>m3/s</t>
  </si>
  <si>
    <t>Schluckvermögen Zubringerpumpen</t>
  </si>
  <si>
    <t>Schluckvermögen Umwälzpumpen</t>
  </si>
  <si>
    <t>%</t>
  </si>
  <si>
    <t>Ausbauwassermenge</t>
  </si>
  <si>
    <t>Mittlere Bruttofallhöhe</t>
  </si>
  <si>
    <t>m</t>
  </si>
  <si>
    <t>Mittlere Nettofallhöhe</t>
  </si>
  <si>
    <t>m3/a</t>
  </si>
  <si>
    <t>Nutzbares Speichervolumen</t>
  </si>
  <si>
    <t>m3</t>
  </si>
  <si>
    <t>Nutzbare Speicherkapazität (Energiemenge)</t>
  </si>
  <si>
    <t>Voraussichtlicher monatlicher Stromverbrauch Zubringerpumpen</t>
  </si>
  <si>
    <r>
      <t xml:space="preserve">Nettoproduktion </t>
    </r>
    <r>
      <rPr>
        <sz val="9"/>
        <color theme="1"/>
        <rFont val="Arial"/>
        <family val="2"/>
      </rPr>
      <t>(vor Investition: Durchschnitt der letzten 5 vollen Betriebsjahre)</t>
    </r>
  </si>
  <si>
    <t>Erwartete Mehrproduktion aus Investition (inkl. neue Speicherkapazität)</t>
  </si>
  <si>
    <t>Anteil Eigenverbrauch an der Nettoproduktion</t>
  </si>
  <si>
    <t>Wasserzinskosten</t>
  </si>
  <si>
    <t>Nutzbare Speicherkapazität der nicht erneuerten Anlageteile</t>
  </si>
  <si>
    <t>(nur für erhebliche Erneuerngen, welche steuerbar und &gt;=3 MWbr sind, ausfüllen)</t>
  </si>
  <si>
    <t>weitere nach Bedarf anfügen</t>
  </si>
  <si>
    <t>Mittelwert der 5 Jahre, die dem Gesuchsjahr vorangehen</t>
  </si>
  <si>
    <t>in einem geeigneten Format als Beilage</t>
  </si>
  <si>
    <t>Daten und Angaben</t>
  </si>
  <si>
    <t>X</t>
  </si>
  <si>
    <t>Schluckvermögen aller Turbinen und Pumpen (einzeln)</t>
  </si>
  <si>
    <t>die zeitliche Verteilung aller relevanten Zuflüsse zu den Fassungen und Speichern währen einem hydrologischen Jahr in einem geeigneten Format und zeitlicher Auflösung</t>
  </si>
  <si>
    <t>die genaue Kraftwerktopologie mit allen relevanten Informationen in geeignemtem Format und geeigneter Auflösung</t>
  </si>
  <si>
    <t>für erhebliche Erweiterungen: die Kraftwerkstopologie mit allen relevanten Invormationen mit und ohne Erweiterung</t>
  </si>
  <si>
    <t>für erhebliche Erneuerungen: die Kraftwerkstopologie der nicht erneuerten Anlageteile mit allen relevanten Informationen</t>
  </si>
  <si>
    <t>Anlageschema, welches die wichtigsten hydraulische Komponenten der Kraftwerksanlage und deren Verbindungen aufzeigt (hydraulisches Schema)</t>
  </si>
  <si>
    <t>Fähigkeit für Systemdienstleistungen (Primärregelung, positive Sekundärregelung, negative Sekundärregelung, positive Tertiärregelung, negative Tertiärregelung) der Turbinen und Pumpen</t>
  </si>
  <si>
    <t>2 Technische Angaben &amp; Produktion</t>
  </si>
  <si>
    <t>Investitionskosten</t>
  </si>
  <si>
    <t>Jahreskosten</t>
  </si>
  <si>
    <t>1 Allgemeines und Unterschrift</t>
  </si>
  <si>
    <t>Firma / Name</t>
  </si>
  <si>
    <t>E-Mail</t>
  </si>
  <si>
    <t>Ansprechperson</t>
  </si>
  <si>
    <t>Kanton</t>
  </si>
  <si>
    <t>Wasserfassung / Wehre</t>
  </si>
  <si>
    <t>Geplanter Baubeginn</t>
  </si>
  <si>
    <t xml:space="preserve">Jahr </t>
  </si>
  <si>
    <t>6. Anderweitige Finanzhilfen</t>
  </si>
  <si>
    <t>Die Beilagen müssen zusammen mit der vorliegenden Excel-Datei eingereicht werden</t>
  </si>
  <si>
    <t>Hydraulisches Anlageschema</t>
  </si>
  <si>
    <t>Weitere Beilagen (nach Bedarf)</t>
  </si>
  <si>
    <t>Belege zu anderweitigen Finanzhhilfen</t>
  </si>
  <si>
    <t>Nachweis der angegebenen Produktionsausfälle (Energie und entsprechende Preise)</t>
  </si>
  <si>
    <t>Weitere</t>
  </si>
  <si>
    <t>1. Données générales</t>
  </si>
  <si>
    <t>1 Données générales et signature</t>
  </si>
  <si>
    <t>Requérant/e</t>
  </si>
  <si>
    <t>Société / Nom</t>
  </si>
  <si>
    <r>
      <t>Rue / n</t>
    </r>
    <r>
      <rPr>
        <vertAlign val="superscript"/>
        <sz val="10"/>
        <color rgb="FF000000"/>
        <rFont val="Arial"/>
        <family val="2"/>
      </rPr>
      <t>o</t>
    </r>
  </si>
  <si>
    <t>NPA / Localité</t>
  </si>
  <si>
    <t>Courriel</t>
  </si>
  <si>
    <r>
      <t>N</t>
    </r>
    <r>
      <rPr>
        <vertAlign val="superscript"/>
        <sz val="10"/>
        <color rgb="FF000000"/>
        <rFont val="Arial"/>
        <family val="2"/>
      </rPr>
      <t>o</t>
    </r>
    <r>
      <rPr>
        <sz val="10"/>
        <color rgb="FF000000"/>
        <rFont val="Arial"/>
        <family val="2"/>
      </rPr>
      <t xml:space="preserve"> de téléphone</t>
    </r>
  </si>
  <si>
    <t>Personne de contact</t>
  </si>
  <si>
    <t>Prénom, Nom</t>
  </si>
  <si>
    <t>Fonction</t>
  </si>
  <si>
    <t>Désignation</t>
  </si>
  <si>
    <t>Canton</t>
  </si>
  <si>
    <t>Installations de captage d'eau ou barrages</t>
  </si>
  <si>
    <r>
      <t>Coordonnées ou Rue, n</t>
    </r>
    <r>
      <rPr>
        <vertAlign val="superscript"/>
        <sz val="10"/>
        <color rgb="FF000000"/>
        <rFont val="Arial"/>
        <family val="2"/>
      </rPr>
      <t>o</t>
    </r>
  </si>
  <si>
    <t>Coordonnées</t>
  </si>
  <si>
    <t>Eaux</t>
  </si>
  <si>
    <t>Réservoirs</t>
  </si>
  <si>
    <t>Réstitutions d'eau</t>
  </si>
  <si>
    <t>2. Constructibilité</t>
  </si>
  <si>
    <t>Début prévu des travaux de construction</t>
  </si>
  <si>
    <t>Fin de la concession</t>
  </si>
  <si>
    <t>Année</t>
  </si>
  <si>
    <t>4. Demande de début anticipé des travaux</t>
  </si>
  <si>
    <t>Demande</t>
  </si>
  <si>
    <t>Texte (ou annexe)</t>
  </si>
  <si>
    <t>5. Coûts d'investissement (hors TVA)</t>
  </si>
  <si>
    <t>Coûts d'investissement globaux</t>
  </si>
  <si>
    <t>part imputable</t>
  </si>
  <si>
    <t>part non imputable</t>
  </si>
  <si>
    <t>Aide financière</t>
  </si>
  <si>
    <t>Type d'aide financière</t>
  </si>
  <si>
    <t>Autorité compétente</t>
  </si>
  <si>
    <t>Montant CHF</t>
  </si>
  <si>
    <t>Etat</t>
  </si>
  <si>
    <t>7. Données techniques</t>
  </si>
  <si>
    <t>8. Exceptions aux limites inférieures de la puissance</t>
  </si>
  <si>
    <t>10. Demande d'octroi d'une contribution d'investissement</t>
  </si>
  <si>
    <t>Annexes obligatoires</t>
  </si>
  <si>
    <t>Annexe</t>
  </si>
  <si>
    <t>Preuve que le projet est apte à la construction ainsi que la confirmation de l'autorité compétente qu'aucun permis de constrire n'est requis</t>
  </si>
  <si>
    <t>Description du projet</t>
  </si>
  <si>
    <t>Descriptif technique de l'installation inclus les plans du projet</t>
  </si>
  <si>
    <t>Annexes ultérieurs (si nécessaire)</t>
  </si>
  <si>
    <t>Motivation et justificatifs pour l'exception des limites inférieures de la puissance</t>
  </si>
  <si>
    <t>Motivation et justificatifs pour demander le début anticipé des travaux</t>
  </si>
  <si>
    <t>Justificatifs de la production supplémentaire hivernale d'au moins 50 % ainsi que 5 GWh</t>
  </si>
  <si>
    <t>Convention sur la valeur résiduelle</t>
  </si>
  <si>
    <t>Justificatifs d'autres aides financières</t>
  </si>
  <si>
    <t>Autres</t>
  </si>
  <si>
    <t>Signature</t>
  </si>
  <si>
    <t>Lieu</t>
  </si>
  <si>
    <t>Date</t>
  </si>
  <si>
    <t>Société</t>
  </si>
  <si>
    <t>1. Indicazioni generali</t>
  </si>
  <si>
    <t>Richiedente</t>
  </si>
  <si>
    <t>Ditta / nome</t>
  </si>
  <si>
    <t>Via / n.</t>
  </si>
  <si>
    <t>NPA / luogo</t>
  </si>
  <si>
    <t>N. tel.</t>
  </si>
  <si>
    <t>Persona di contatto</t>
  </si>
  <si>
    <t>Nome, cognome</t>
  </si>
  <si>
    <t xml:space="preserve">Funzione </t>
  </si>
  <si>
    <t>Coordinate oppure via / n.</t>
  </si>
  <si>
    <t>Cantone</t>
  </si>
  <si>
    <t>Denominazione</t>
  </si>
  <si>
    <t>Prese d'acua oppure sbarramenti</t>
  </si>
  <si>
    <t>Coordinate</t>
  </si>
  <si>
    <t>Corpo idrico</t>
  </si>
  <si>
    <t>Serbatoi</t>
  </si>
  <si>
    <t>2. Edificabilità</t>
  </si>
  <si>
    <t>Edificabilità del progetto</t>
  </si>
  <si>
    <t>Constructibilité du projet</t>
  </si>
  <si>
    <t>Previsto inizio dei lavori</t>
  </si>
  <si>
    <t>Data prevista per la messa in esercizio</t>
  </si>
  <si>
    <t>Termine della concessione</t>
  </si>
  <si>
    <t>Anno</t>
  </si>
  <si>
    <t>4. Domanda di inizio anticipato dei lavori</t>
  </si>
  <si>
    <t>Domanda</t>
  </si>
  <si>
    <t>Motivazione</t>
  </si>
  <si>
    <t>5. Costi d'investimento (IVA esclusa)</t>
  </si>
  <si>
    <t>Costi totali d'investimento</t>
  </si>
  <si>
    <t>Costi computabili</t>
  </si>
  <si>
    <t>Costi non computabili</t>
  </si>
  <si>
    <t>6. Ulteriori aiuti finanziari</t>
  </si>
  <si>
    <t>Aiuto finanziario</t>
  </si>
  <si>
    <t>Tipo di aiuto finanziario</t>
  </si>
  <si>
    <t>Autorità competente</t>
  </si>
  <si>
    <t>Ammontare in CHF</t>
  </si>
  <si>
    <t>Stato</t>
  </si>
  <si>
    <t>7. Dati tecnici</t>
  </si>
  <si>
    <t>8. Deroghe ai limiti inferiori della potenza</t>
  </si>
  <si>
    <t>Deroga al limite inferiore di potenza di 1 MWbr per i nuovi impianti, rispettivamente di 300 kWbr per gli ampliamenti e i rinnovamenti considerevoli</t>
  </si>
  <si>
    <t>Percento</t>
  </si>
  <si>
    <t>10. Domanda di contributo d'investimento</t>
  </si>
  <si>
    <t>Allegati obbligatori</t>
  </si>
  <si>
    <t xml:space="preserve">Allegato </t>
  </si>
  <si>
    <t>Prova che il progetto sia pronto alla realizzazione con una conferma dell'autroità competente che il progetto non necessita di un permesso di costruzione</t>
  </si>
  <si>
    <t>Prova della validità del diritto di sfruttamento delle acque</t>
  </si>
  <si>
    <t>Descrizione del progetto</t>
  </si>
  <si>
    <t>Descrizione tecnica dell'impianto inclusi i piani del progetto</t>
  </si>
  <si>
    <t>Ulteriori allegati (se necessario)</t>
  </si>
  <si>
    <t>Motivazione e attestati riguardanti la deroga al limite inferiore di potenza</t>
  </si>
  <si>
    <t>Motivazione e attestati inerenti all'inizio anticipato die lavori</t>
  </si>
  <si>
    <t>Attestati inerenti alla produzione invernale aggiuntiva di almeno 50 % come pure 5 GWh</t>
  </si>
  <si>
    <t>Accordo sul valore residuo</t>
  </si>
  <si>
    <t>Attestati inerenti agli aiuti finanziari</t>
  </si>
  <si>
    <t>Attestati inerenti alle perdite di produzione dichiarate (energia e prezzi corrispondenti)</t>
  </si>
  <si>
    <t>Altri</t>
  </si>
  <si>
    <t>Luogo</t>
  </si>
  <si>
    <t>Data</t>
  </si>
  <si>
    <t>Ditta</t>
  </si>
  <si>
    <t>Exception</t>
  </si>
  <si>
    <t>Deroga</t>
  </si>
  <si>
    <t>1 Indicazioni generali e firma</t>
  </si>
  <si>
    <t>Indicazioni generali</t>
  </si>
  <si>
    <t>Coûts d'investissement</t>
  </si>
  <si>
    <t>Costi d'investimento</t>
  </si>
  <si>
    <t>Coûts annuels</t>
  </si>
  <si>
    <t>Costi annuali</t>
  </si>
  <si>
    <t>Demande de</t>
  </si>
  <si>
    <t>Constructibilité</t>
  </si>
  <si>
    <t>Le permis de construire exécutoire a été délivré</t>
  </si>
  <si>
    <t>Un permis de construire n'est pas nécessaire, le projet est apte à la construction</t>
  </si>
  <si>
    <t>Début anticipé des travaux</t>
  </si>
  <si>
    <t>Je demande l'autorisation d'un début anticipé des travaux</t>
  </si>
  <si>
    <t>Je ne demande pas d'autorisation d'un début anticipé des travaux</t>
  </si>
  <si>
    <t>Inizio anticipato dei lavori</t>
  </si>
  <si>
    <t>Edificabilità</t>
  </si>
  <si>
    <t>Sussiste una licenza di costruzione passata in giudicato</t>
  </si>
  <si>
    <t>Non occorre una licenza di costruzione, il progetto è pronto alla realizzazione</t>
  </si>
  <si>
    <t>Richiedo l'autorizzazione per antecipare l'inizio dei lavori</t>
  </si>
  <si>
    <t>Non richiedo l'autorizzazione per anticipare l'inizio dei lavori</t>
  </si>
  <si>
    <t>Deroghe ai limiti inferiori della potenza</t>
  </si>
  <si>
    <t>Impianto accessorio (art. 26 cpv. 4 LEnE)</t>
  </si>
  <si>
    <t>Impianto con utilizzo di acqua di dotazione (art. 9 cpv. 2 lett. a OPEn)</t>
  </si>
  <si>
    <t>Impianto presso scolatore di piena creato in modo artificiale, canale industriale o canale di derivazione e di restituzione esistente (art. 9 cpv. 2 lett. b OPEn)</t>
  </si>
  <si>
    <t>Impianti nei quali vengono o sono state realizzate misure di risanamento ai sensi della LPAc o della LFSP (art. 9 cpv. 2 lett. c OPEn)</t>
  </si>
  <si>
    <t>Exceptions aux limites inférieures de la puissance</t>
  </si>
  <si>
    <t>Installation d'exploitation accessoire (art. 26, al. 4 , LEne)</t>
  </si>
  <si>
    <t xml:space="preserve">Centrale de dotation (art. 9, al. 2, let. b, OEner) </t>
  </si>
  <si>
    <t>Installations pour lesquelles des mesures d'assainissement au sens de la LEaux ou de la LFSP sont ou ont été mises en oeuvre (art. 9, al. 2, let. c, OEner)</t>
  </si>
  <si>
    <t>Installation sur canal artificiel d'évacuation des crues, canal industriel, canal de dérivation ou canal de fuite existant (art. 9, al. 2, let. b, OEner)</t>
  </si>
  <si>
    <t>aucune exception nécessaire</t>
  </si>
  <si>
    <t>nessuna deroga necessaria</t>
  </si>
  <si>
    <t>Premio di mercato fluttuante e contributo d'investimento (decisione più tardi)</t>
  </si>
  <si>
    <t>5. Signez la feuille 1</t>
  </si>
  <si>
    <t>5. Firma il foglio 1</t>
  </si>
  <si>
    <t>firmare elettronicamente il modulo compilato in ogni sua parte oppure stamparlo, firmarlo e allegarlo in formato PDF</t>
  </si>
  <si>
    <t>signer électroniquement le formulaire dûment rempli ou l'imprimer, le signer et le joindre au format PDF.</t>
  </si>
  <si>
    <t>6. Envoyez le fichier Excel et les annexes (PDF) via</t>
  </si>
  <si>
    <t>6. Inviate il file Excel e gli allegati (PDF) tramite</t>
  </si>
  <si>
    <t>aggiungere ulteriori righe secondo necessità</t>
  </si>
  <si>
    <t>ajouter d'autres lignes si nécessaire</t>
  </si>
  <si>
    <t>Valeur tirée de la feuille 3</t>
  </si>
  <si>
    <t>Valeur tirée de la feuille 1b</t>
  </si>
  <si>
    <t>pour cent</t>
  </si>
  <si>
    <t>3. Date</t>
  </si>
  <si>
    <t>3. Dates</t>
  </si>
  <si>
    <t>Dates</t>
  </si>
  <si>
    <t>Valore dal foglio 3</t>
  </si>
  <si>
    <t>Valore dal foglio 1b</t>
  </si>
  <si>
    <t>Calendrier de réalisation</t>
  </si>
  <si>
    <t>Schéma hydraulique de l'installation</t>
  </si>
  <si>
    <t>Schema idraulico dell'impianto</t>
  </si>
  <si>
    <t>Justification</t>
  </si>
  <si>
    <t>Testo (o allegato)</t>
  </si>
  <si>
    <t>Taux de contribution</t>
  </si>
  <si>
    <t>Aliquota di contribuzione</t>
  </si>
  <si>
    <t>Valore calcolato</t>
  </si>
  <si>
    <t>Valeur calculée</t>
  </si>
  <si>
    <t>Liste des annexes</t>
  </si>
  <si>
    <t>Elenco degli allegati</t>
  </si>
  <si>
    <t>Gli allegati devono essere inviati insieme al presente file Excel</t>
  </si>
  <si>
    <t>Les annexes doivent être soumises avec le fichier Excel</t>
  </si>
  <si>
    <t>Remarques, nom du document, etc.</t>
  </si>
  <si>
    <t>Commenti, nome del documento ecc.</t>
  </si>
  <si>
    <t>Exception à la limite inférieure de puissance de 1MWbr pour les nouvelles installations resp. de 300 kWbr pour les agrandissements et rénovations notables</t>
  </si>
  <si>
    <r>
      <t xml:space="preserve">Constructibilité: permis de construire ainsi que l'attestation de la force exécutoire, </t>
    </r>
    <r>
      <rPr>
        <u/>
        <sz val="10"/>
        <color rgb="FF000000"/>
        <rFont val="Arial"/>
        <family val="2"/>
      </rPr>
      <t>ou</t>
    </r>
  </si>
  <si>
    <r>
      <t xml:space="preserve">Edificabilità: Licenza di costruzione nonché l'attestazione della forza di cosa giudicata </t>
    </r>
    <r>
      <rPr>
        <u/>
        <sz val="10"/>
        <rFont val="Arial"/>
        <family val="2"/>
      </rPr>
      <t>o</t>
    </r>
  </si>
  <si>
    <t>Calendario dei lavori</t>
  </si>
  <si>
    <t>Seitenanfang / haut de page / inizio pagina</t>
  </si>
  <si>
    <t>Belege zum zusätzlichen Winterproduktionsanteil von mindestens 50% sowie 5 GWh</t>
  </si>
  <si>
    <t>Stand anderweitige Finanzhilfen</t>
  </si>
  <si>
    <t>Anderweitige Finanzhilfen</t>
  </si>
  <si>
    <t>beantragt</t>
  </si>
  <si>
    <t>gewährt</t>
  </si>
  <si>
    <t>richiesto</t>
  </si>
  <si>
    <t>ricevuto</t>
  </si>
  <si>
    <t>Ulteriori aiuti finanziari</t>
  </si>
  <si>
    <t>Autres aides financières</t>
  </si>
  <si>
    <t>demandé</t>
  </si>
  <si>
    <t>accordé</t>
  </si>
  <si>
    <t>Dok. xy</t>
  </si>
  <si>
    <t>1b Taux de contribution CI</t>
  </si>
  <si>
    <t>1b Aliquota di contribuzione CI</t>
  </si>
  <si>
    <t>START / DEBUT / INIZIO</t>
  </si>
  <si>
    <t>START / DÉBUT / INIZIO</t>
  </si>
  <si>
    <t>Bitte füllen Sie alle blau hinterlegten Zellen aus</t>
  </si>
  <si>
    <t>Veuillez remplir tout les cellules sur fond bleu</t>
  </si>
  <si>
    <t>Compilare tutte le celle con sfondo blu</t>
  </si>
  <si>
    <t>Bitte Blatt 3 ausfüllen</t>
  </si>
  <si>
    <t>Veuillez remplir la feuille 3</t>
  </si>
  <si>
    <t>Compilare il foglio 3</t>
  </si>
  <si>
    <t>Neuanlage (Art. 3 Abs. 1 Bst. a EnFV)</t>
  </si>
  <si>
    <t>Erhebliche Erweiterung (Art. 30bbis Abs. 1)</t>
  </si>
  <si>
    <t>Die Erweiterung einer Anlage ist erheblich, wenn durch bauliche Massnahmen</t>
  </si>
  <si>
    <t>die Ausbauwassermenge aus dem bereits genutzten Gewässer um mindestens 20 Prozent erhöht wird und die erweiterte Anlage über einen Speicher verfügt, mit dessen Inhalt während sechs Volllaststunden Elektrizität produziert werden kann;</t>
  </si>
  <si>
    <t>die mittlere Bruttofallhöhe um mindestens 10 Prozent erhöht wird;</t>
  </si>
  <si>
    <t>zusätzliches Wasser im Umfang von mindestens 10 Prozent des Durchschnitts der in den letzten fünf vollen Betriebsjahren vor der Inbetriebnahme der Erweiterung genutzten Jahreswassermenge genutzt wird;</t>
  </si>
  <si>
    <t>das nutzbare Speichervolumen sowohl um mindestens 15 Prozent als auch um 150 000 Kubikmeter vergrössert wird; oder</t>
  </si>
  <si>
    <t>die durchschnittliche jährliche Nettoproduktion gegenüber dem Durchschnitt der letzten fünf vollen Betriebsjahre vor der Einreichung des Gesuchs um ei-nen Investitionsbeitrag um mindestens 20 Prozent oder 30 GWh gesteigert wird.</t>
  </si>
  <si>
    <t>Erhebliche Erneuerung (Art. 30bbis Abs, 2)</t>
  </si>
  <si>
    <t>Die Erneuerung einer Anlage ist erheblich, wenn durch bauliche Massnahmen</t>
  </si>
  <si>
    <t>die Investition im Verhältnis zur Nettoproduktion, die innerhalb der letzten fünf vollen Betriebsjahre durchschnittlich in einem Jahr erzielt wurde, mindestens 14 Rp./kWh beträgt.</t>
  </si>
  <si>
    <t>Nouvelle installation (Art. 3, al. 1, let. a OEneR)</t>
  </si>
  <si>
    <t>Agrandissement notable (Art. 30bbis, al. 1)</t>
  </si>
  <si>
    <t>L’agrandissement d’une installation est réputé notable si des mesures de construction permettent:</t>
  </si>
  <si>
    <t>d’accroître le débit équipé du cours d’eau déjà exploité d’au moins 20 % et si l’installation agrandie dispose d’un réservoir dont le contenu permet de produire de l’électricité pendant six heures à pleine charge;</t>
  </si>
  <si>
    <t>d’augmenter la hauteur de chute brute moyenne d’au moins 10 %;</t>
  </si>
  <si>
    <t>d’utiliser davantage d’eau, à hauteur d’au moins 10 % de la quantité annuelle moyenne d’eau utilisée au cours des cinq dernières années complètes d’exploitation précédant la mise en service de l’agrandissement;</t>
  </si>
  <si>
    <t>d’augmenter le volume d’accumulation utilisable d’au moins 15 %, et d’au moins 150 000 mètres cubes, ou</t>
  </si>
  <si>
    <t>d’augmenter la moyenne annuelle de la production nette d’au moins 20 % ou 30 GWh par rapport à la moyenne des cinq dernières années complètes d’exploitation avant le dépôt de la demande de contribution d’investissement.</t>
  </si>
  <si>
    <t>Rénovation notable (Art. 30bbis, al. 2)</t>
  </si>
  <si>
    <t>La rénovation d'une installation est réputée notable:</t>
  </si>
  <si>
    <t>si au moins une composante principale de l’installation, telle que la prise d’eau, les pompes d’alimentation, le barrage, le réservoir, la conduite forcée, les machines ou l’équipement électromécanique, est remplacée ou fait l’objet d’un assainissement total, et</t>
  </si>
  <si>
    <t>si l’investissement rapporté à la production nette sur une année en moyenne des cinq années complètes d’exploitation précédant la rénovation s’élève au moins à 14 ct./kWh.</t>
  </si>
  <si>
    <t xml:space="preserve">Nuovo impianto (Art. 3 cpv.1 let. a OPEn) </t>
  </si>
  <si>
    <t>Ampliamento considerevole (Art. 30bbis cpv. 1)</t>
  </si>
  <si>
    <t>L’ampliamento di un impianto è considerato considerevole, se mediante misure costruttive:</t>
  </si>
  <si>
    <t>la portata massima dell’acqua derivante dalle acque già utilizzate viene aumentata di almeno il 20 per cento e l’impianto ampliato dispone di un serbatoio di accumulo con il cui contenuto può essere prodotta elettricità durante sei ore a pieno carico;</t>
  </si>
  <si>
    <t>il dislivello lordo medio viene aumentato di almeno il 10 per cento;</t>
  </si>
  <si>
    <t>viene utilizzata altra acqua equivalente ad almeno il 10 per cento della media della quantità di acqua annua utilizzata negli ultimi cinque anni d’esercizio completi prima della messa in esercizio dell’ampliamento;</t>
  </si>
  <si>
    <t>il volume utile viene aumentato sia di almeno il 15 per cento che di 150 000 metri cubi; o</t>
  </si>
  <si>
    <t>la produzione netta annua media rapportata alla media degli ultimi cinque anni d’esercizio completi prima della presentazione della domanda per l’ottenimento di un contributo d’investimento viene aumentata di almeno il 20 per cento o 30 GWh.</t>
  </si>
  <si>
    <t>Rinnovamento considerevole (Art. 30bbis cpv. 2)</t>
  </si>
  <si>
    <t>Il rinnovamento di un impianto è considerato considerevole se:</t>
  </si>
  <si>
    <t>almeno una componente principale, quali la presa d’acqua, le pompe d’alimentazione, le opere di sbarramento, i serbatoi di accumulo, le condotte in pressione, le macchine o l’equipaggiamento elettromeccanico dell’impianto, è sostituita o interamente risanata; e</t>
  </si>
  <si>
    <t>l’investimento ammonta ad almeno 14 ct./kWh rispetto alla produzione netta raggiunta mediamente in un anno negli ultimi cinque anni d’esercizio completi.</t>
  </si>
  <si>
    <t>Au moins un critère (a. - e.) doit être rempli</t>
  </si>
  <si>
    <t>Mindestens ein Kriterium (a. - e.) muss erfüllt sein</t>
  </si>
  <si>
    <t>Deve essere soddisfatto almeno un criterio (da a. a e.)</t>
  </si>
  <si>
    <t>Beide Kriterien (a. und b.) müssen erfüllt sein</t>
  </si>
  <si>
    <t>Les deux critères (a. et b.) doivent être remplis</t>
  </si>
  <si>
    <t>Entrambi i criteri (a. e b.) devono essere soddisfatti</t>
  </si>
  <si>
    <t>Type d'investissement (feuille 1a)</t>
  </si>
  <si>
    <t>Investitionstyp (Blatt 1a)</t>
  </si>
  <si>
    <t>Tipo di investimento (foglio 1a)</t>
  </si>
  <si>
    <t>Déterminer le taux de contribution</t>
  </si>
  <si>
    <t>Determinare l'aliquota di contribuzione</t>
  </si>
  <si>
    <t>FEHLER: Nur einen Beitragssatz auswählen</t>
  </si>
  <si>
    <t>ERREUR : sélectionnez un seul taux de contribution</t>
  </si>
  <si>
    <t xml:space="preserve">ERRORE: selezionare solo un'aliquota di contribuzione </t>
  </si>
  <si>
    <t>sofern mindestens 50 Prozent der zusätzlichen Produktion im Winterhalbjahr anfallen und diese Winterproduktion mindestens 5 GWh beträgt</t>
  </si>
  <si>
    <t>erhebliche Erweiterungen, sofern Kriterium d erfüllt ist</t>
  </si>
  <si>
    <t>Caso normale</t>
  </si>
  <si>
    <t>Cas normal</t>
  </si>
  <si>
    <t>agrandissement notable, si le critère d. est rempli</t>
  </si>
  <si>
    <t>50 % au moins de la production supplémentaire sont générés durant le semestre d’hiver et cette production hivernale atteigne au moins 5 GWh</t>
  </si>
  <si>
    <t>almeno il 50 per cento dell’ulteriore produzione è generato nel semestre invernale e tale produzione invernale è pari ad almeno 5 GWh</t>
  </si>
  <si>
    <t>ampliamento considerevole, se è soddissfatto il criterio d.</t>
  </si>
  <si>
    <t>Puissance de 1 à 10 MW</t>
  </si>
  <si>
    <t>Puissance inférieure à 1 MW</t>
  </si>
  <si>
    <t>Puissance supérieure à 10 MW</t>
  </si>
  <si>
    <t>Leistung weniger als 1 MW</t>
  </si>
  <si>
    <t>Leistung mehr als 10 MW</t>
  </si>
  <si>
    <t>Leistung ab 1 bis 10 MW</t>
  </si>
  <si>
    <t>Potenza inferiore a 1 MW</t>
  </si>
  <si>
    <t>Potenza da 1 a 10 MW</t>
  </si>
  <si>
    <t>Potenza superiore a 10 MW</t>
  </si>
  <si>
    <t>Inserire il valore</t>
  </si>
  <si>
    <t>Entrer la valeur</t>
  </si>
  <si>
    <t>Wert eingeben</t>
  </si>
  <si>
    <t>avant l'investissement</t>
  </si>
  <si>
    <t>après l'investissement</t>
  </si>
  <si>
    <t xml:space="preserve">Débit équipé de l'eau </t>
  </si>
  <si>
    <t xml:space="preserve">Hauteur de chute brute moyenne </t>
  </si>
  <si>
    <t xml:space="preserve">Hauteur de chute nette moyenne </t>
  </si>
  <si>
    <t xml:space="preserve">Volume d'accumulation utilisable </t>
  </si>
  <si>
    <t>Production nette  (avant l'investissement: moyenne des cinq dernières années d'exploitation)</t>
  </si>
  <si>
    <t>Consommation propre en % de la production nette</t>
  </si>
  <si>
    <t xml:space="preserve">Potenza meccanica lorda media dell’acqua </t>
  </si>
  <si>
    <t xml:space="preserve">Portata massima normale dell'acqua </t>
  </si>
  <si>
    <t xml:space="preserve">Dislivello lordo medio </t>
  </si>
  <si>
    <t xml:space="preserve">Dislivello netto medio </t>
  </si>
  <si>
    <t>Quantità d'acqua utilizzata prima dell’investimento 
(media degli ultimi cinque anni d'esercizio)</t>
  </si>
  <si>
    <t xml:space="preserve">Volume accumulabile utile </t>
  </si>
  <si>
    <t xml:space="preserve">Consumo proprio in % della produzione netta </t>
  </si>
  <si>
    <t>1. Dati tecnici generali</t>
  </si>
  <si>
    <t>1. Données téchniques générale</t>
  </si>
  <si>
    <t>différence</t>
  </si>
  <si>
    <t>differenza</t>
  </si>
  <si>
    <t>Puissance mécanique brute moyenne de l'eau</t>
  </si>
  <si>
    <t xml:space="preserve">Débit équipé des turbines </t>
  </si>
  <si>
    <t>Débit équipé des pompes de circulation</t>
  </si>
  <si>
    <t>Débit équipé des pompes d'alimentation</t>
  </si>
  <si>
    <t>Consommation d'électricité mensuelle probable des pompes d'alimentation</t>
  </si>
  <si>
    <t xml:space="preserve">Puissance installée des turbines </t>
  </si>
  <si>
    <t xml:space="preserve">Puissance installée des pompes d'alimentation </t>
  </si>
  <si>
    <t xml:space="preserve">Puissance installée des pompes de circulation </t>
  </si>
  <si>
    <t xml:space="preserve">Potenza installata delle turbine </t>
  </si>
  <si>
    <t xml:space="preserve">Potenza installata delle pompe d'alimentazione </t>
  </si>
  <si>
    <t xml:space="preserve">Potenza installata delle pompe di circolazione </t>
  </si>
  <si>
    <t>Portata delle turbine</t>
  </si>
  <si>
    <t>Portata delle pompe d'alimentaziona</t>
  </si>
  <si>
    <t>Portata delle pompe di circolazione</t>
  </si>
  <si>
    <t>consumo mensile stimato di elettricità per le pompe di alimentazione</t>
  </si>
  <si>
    <t>Produzione netta   (prima dell'investimento: media degli ultimi cinque anni d'esercizio completi)</t>
  </si>
  <si>
    <t>Production supplémentaire attendue résultant de l’investissement (y compris nouvelle capacité de stockage)</t>
  </si>
  <si>
    <t>Aumento previsto della produzione grazie all'investimento (inclusa nuova capacità di stoccaggio)</t>
  </si>
  <si>
    <t>Capacité de stockage utilisable des parties de l’installation non renouvelées</t>
  </si>
  <si>
    <t>(à remplir uniquement si rénovation notable, contrôlable et &gt;=3 MWbr)</t>
  </si>
  <si>
    <t xml:space="preserve">Capacità di stoccaggio utile delle parti dell'impianto non rinnovate </t>
  </si>
  <si>
    <t>(Da compilare solo per ristrutturazioni importanti soggette a imposta e &gt;=3 MWbr.)</t>
  </si>
  <si>
    <t>Capacità di stoccaggio utile</t>
  </si>
  <si>
    <t>Capacité de stockage utilisable</t>
  </si>
  <si>
    <t>Bei Neuanlagen, die technisch und wirtschaftlich in einen bestehenden Anlagenverbund integriert sind, sind die Werte für den bestehenden Anlageverbund mit zu erfassen: "vor Investition" = bestehender Anlagenverbund; "nach Investition" = bestehender Anlageverbund plus Neuanlage. Bei nicht integrierten Neuanlagen können die Felder "vor Investition" leer gelassen werden.</t>
  </si>
  <si>
    <t>Coûts de la redevance hydraulique</t>
  </si>
  <si>
    <t>Costi relativi al canone annuo</t>
  </si>
  <si>
    <t>CHF/kWbr</t>
  </si>
  <si>
    <t xml:space="preserve">2. Débits entrants mensuels moyens de chaque prise d'eau ou réservoir </t>
  </si>
  <si>
    <t>2. Afflussi medi mensili alle singole prese o ai bacini di accumulazione</t>
  </si>
  <si>
    <t>Fassung / Speicher</t>
  </si>
  <si>
    <t>(Bei Neuanlagen, die in einen Anlagenverbund integriert sind: Werte für den bestehenden Anlageverbund)</t>
  </si>
  <si>
    <t>Prise d'eau / Réservoir</t>
  </si>
  <si>
    <t>Presa / Bacino di accumulazione</t>
  </si>
  <si>
    <t>Ajouter d'autres si nécessaire</t>
  </si>
  <si>
    <t>Aggiungere ulteriori secondo necessità</t>
  </si>
  <si>
    <t>Moyenne des 5 années précédant l’année de la demande</t>
  </si>
  <si>
    <t>Media dei 5 anni precedenti l’anno della domanda</t>
  </si>
  <si>
    <t>Pour une nouvelle installation intégrée sur les plans technique et économique dans un groupe d’installations, les données du groupe d'installations existant doivent également être saisies : "avant l'investissement" = groupe d'installations existant; "après l'investissement" = groupe d'installations existant plus nouvelle installation. Pour une nouvelle installation non intégrée, la colonne "avant l'installation" ne doit pas être remplie.</t>
  </si>
  <si>
    <r>
      <t xml:space="preserve">Nutzwassermenge </t>
    </r>
    <r>
      <rPr>
        <sz val="10"/>
        <color theme="1"/>
        <rFont val="Arial"/>
        <family val="2"/>
      </rPr>
      <t>(vor Investition: Durchschnitt der letzten 5 vollen Betriebsjahre)</t>
    </r>
  </si>
  <si>
    <r>
      <t xml:space="preserve">Quantité d'eau utilisé </t>
    </r>
    <r>
      <rPr>
        <sz val="10"/>
        <color theme="1"/>
        <rFont val="Arial"/>
        <family val="2"/>
      </rPr>
      <t>(avant l'investissement: moyenne des cinq dernières années d'exploitation)</t>
    </r>
  </si>
  <si>
    <t>(Pour une nouvelle installation intégrée sur les plans technique et économique dans un groupe d’installations: données pour le groupe d'installations existant)</t>
  </si>
  <si>
    <t>Per nuovi impianti che sono integrati in un’unione di impianti esistente dal punto di vista tecnico ed economico: "prima dell'investimento" = unione di impianti esistente; "dopo l'investimento" = unione di impianti esistente più nuovo impianto. Per gli nuovi impianti non integrati, la colonna "prima dell'investimento" non deve essere compilata.</t>
  </si>
  <si>
    <t>(Per nuovi impianti che sono integrati in un’unione di impianti esistente dal punto di vista tecnico ed economico: valori relativi all'unione di impianti esistente)</t>
  </si>
  <si>
    <t>Installierte Leistung aller Turbinen und Pumpen (einzeln)</t>
  </si>
  <si>
    <t>3. Production nette mensuelle de l’installation ou du groupe d’installations</t>
  </si>
  <si>
    <t>3. Produzione netta mensile dell’impianto o dell’unione di impianti</t>
  </si>
  <si>
    <t>4. Production attestée par des GO</t>
  </si>
  <si>
    <t>4. Produzione GO</t>
  </si>
  <si>
    <t>5. Électricité pour les pompes d’alimentation</t>
  </si>
  <si>
    <t>5. Energia elettrica della pompa di alimentazione</t>
  </si>
  <si>
    <t>6. Électricité pour les pompes servant au pompage-turbinage pur</t>
  </si>
  <si>
    <t>6. Energia elettrica per la pompa di una centrale di pompaggio-turbinaggio</t>
  </si>
  <si>
    <t>7. Per gli impianti controllabili con una potenza superiore a 3 MW: tutte le informazioni necessarie per la modellizzazione in un software di ottimizzazione dell’utilizzo della centrale elettrica</t>
  </si>
  <si>
    <t>Come allegato, in un formato appropriato</t>
  </si>
  <si>
    <t>En pièce jointe, dans un format appropprié</t>
  </si>
  <si>
    <t>Dati e informazioni</t>
  </si>
  <si>
    <t>Données et informations</t>
  </si>
  <si>
    <t>la distribuzione temporale di tutti gli afflussi rilevanti alle prese e ai bacini di accumulazione durante un anno idrologico, in un formato e con risoluzione temporale appropriati</t>
  </si>
  <si>
    <t>l’esatta topologia della centrale elettrica con tutte le informazioni rilevanti, in un formato e una risoluzione appropriati,</t>
  </si>
  <si>
    <t>per gli ampliamenti considerevoli: la topologia della centrale elettrica con tutte le informazioni rilevanti con e senza ampliamento</t>
  </si>
  <si>
    <t>la predisposizione a erogare prestazioni di servizio relative al sistema (regolazione primaria, regolazione secondaria positiva, regolazione secondaria negativa, regolazione terziaria positiva, regolazione terziaria negativa) delle turbine e delle pompe</t>
  </si>
  <si>
    <t>la répartition horaire de tous les débits entrants des prises d’eau et réservoirs pertinents pour le projet pendant une année hydrologique, dans un format et une résolution temporelle appropriés</t>
  </si>
  <si>
    <t>la topologie précise de l’installation assortie de toutes les informations pertinentes, dans un format et une résolution appropriés</t>
  </si>
  <si>
    <t>pour les agrandissements notables, la topologie de la centrale assortie de toutes les informations pertinentes avec et sans agrandissement</t>
  </si>
  <si>
    <t>pour les rénovations notables, la topologie de la centrale pour les parties non rénovées de l’installation, assortie de toutes les informations pertinentes</t>
  </si>
  <si>
    <t>8. Informations complémentaires (en pièce jointe ou intégrés dans le rapport technique)</t>
  </si>
  <si>
    <t>la capacité de services-système (réglage primaire, réglage secondaire positif, réglage secondaire négatif, réglage tertiaire positif, réglage tertiaire négatif) des turbines et des pompes</t>
  </si>
  <si>
    <t>la puissance installée de toutes les turbines et pompes (individuellement)</t>
  </si>
  <si>
    <t>le débit équipé de toutes les turbines et pompes (individuellement)</t>
  </si>
  <si>
    <t>la potenza installata di tutte le turbine e pompe (singolarmente)</t>
  </si>
  <si>
    <t>la portata di tutte le turbine e pompe (singolarmente)</t>
  </si>
  <si>
    <t>2. Données téchniques et production</t>
  </si>
  <si>
    <t>2. Dati tecnici e produzione</t>
  </si>
  <si>
    <t>per i rinnovamenti considerevoli: la topologia della centrale elettrica delle parti dell’impianto non rinnovate con tutte le informazioni rilevanti</t>
  </si>
  <si>
    <t>3. Investitionskosten</t>
  </si>
  <si>
    <t>3. Coûts d'investissement</t>
  </si>
  <si>
    <t>3. Costi d'investimento</t>
  </si>
  <si>
    <t>Elektronische Übermittlung (e-Übermittlung BFE)</t>
  </si>
  <si>
    <t>Transmission électronique (e-transmission OFEN)</t>
  </si>
  <si>
    <t>Trasmissione elettronica UFE</t>
  </si>
  <si>
    <t>Bitte Blatt 2 ausfüllen</t>
  </si>
  <si>
    <t>Veuillez remplir la feuille 2</t>
  </si>
  <si>
    <t>Compilare il foglio 2</t>
  </si>
  <si>
    <t>8. Ulteriori informazioni (come allegati o integrate nella descrizione tecnica)</t>
  </si>
  <si>
    <t>Preuve de la validité du droit d'utilisation de l'eau</t>
  </si>
  <si>
    <t>7. Pour les installations contrôlables d’une puissance supérieure à 3 MW : toutes les informations nécessaires à une modélisation dans un logiciel d’optimisation de l’utilisation des centrales</t>
  </si>
  <si>
    <t>Wert aus Blatt 1</t>
  </si>
  <si>
    <t>Valore dal foglio 1</t>
  </si>
  <si>
    <t>Valeur tirée de la feuille 1</t>
  </si>
  <si>
    <t>deutsch = d, français = f, italiano = i</t>
  </si>
  <si>
    <t>lo schema dell’impianto che mostra i principali componenti idraulici e i loro collegamenti (schema idraulico)</t>
  </si>
  <si>
    <t xml:space="preserve">6. Autres aides financières </t>
  </si>
  <si>
    <t>Reduktion aufgrund kurzer Konzessionsrestdauer</t>
  </si>
  <si>
    <t>Réduction due à la brève durée de la concession</t>
  </si>
  <si>
    <t>Riduzione dovuto alla breve durata della concessione</t>
  </si>
  <si>
    <t>9. Antrag gleitende Marktprämie</t>
  </si>
  <si>
    <t>9. Demande d'octroi d'une prime de marché flottante</t>
  </si>
  <si>
    <t>9. Domanda di premio di mercato fluttuante</t>
  </si>
  <si>
    <t>Montant probable du taux de rétribution</t>
  </si>
  <si>
    <t>Voraussichtlicher Vergütungssatz</t>
  </si>
  <si>
    <t>Voraussichtlicher Investitionsbeitrag</t>
  </si>
  <si>
    <t>Montant probable de la contribution d'investissement</t>
  </si>
  <si>
    <t>Ammontare presunto del tasso di rimunerazione</t>
  </si>
  <si>
    <t>Ammontare presunto del contributo d'investimento</t>
  </si>
  <si>
    <t>Tag/Monat</t>
  </si>
  <si>
    <t>Jour/Mois</t>
  </si>
  <si>
    <t>Giorno/Mese</t>
  </si>
  <si>
    <t>Mehrwertsteuerpflichtig</t>
  </si>
  <si>
    <t>Gestore dell'impianto</t>
  </si>
  <si>
    <t>Betreiber/in der Anlage</t>
  </si>
  <si>
    <t>Exploitant/e de l'installation</t>
  </si>
  <si>
    <t>Assujetti à la TVA</t>
  </si>
  <si>
    <t>Soggetto ad IVA</t>
  </si>
  <si>
    <t>Restituzione d'acqua</t>
  </si>
  <si>
    <t>4. Compilare i fogli Excel seguenti</t>
  </si>
  <si>
    <t>4. Veuillez compléter les feuilles Excel suivantes</t>
  </si>
  <si>
    <t>Mise en service prévue</t>
  </si>
  <si>
    <t>Coûts imputables générés par la gestion de l’énergie et les coûts de valorisation</t>
  </si>
  <si>
    <t>zugesichert</t>
  </si>
  <si>
    <t>ausbezahlt</t>
  </si>
  <si>
    <t>alloué</t>
  </si>
  <si>
    <t>accordato</t>
  </si>
  <si>
    <t>versé</t>
  </si>
  <si>
    <t>versato</t>
  </si>
  <si>
    <t>Période de décompte</t>
  </si>
  <si>
    <t>Abrechnungsperiode</t>
  </si>
  <si>
    <t>Periodo di rendiconto</t>
  </si>
  <si>
    <t>Wert aus Blatt "START"</t>
  </si>
  <si>
    <t>Valeur tirée de la feuille "DÉBUT"</t>
  </si>
  <si>
    <t>Valore dal foglio "INIZIO"</t>
  </si>
  <si>
    <t>Das Kriterium a. muss erfüllt sein</t>
  </si>
  <si>
    <t>Le critère a. doit être rempli</t>
  </si>
  <si>
    <t>Deve essere soddisfatto il criterio a.</t>
  </si>
  <si>
    <t>1a Tipo di investimento: motivazione</t>
  </si>
  <si>
    <t>1a Investitionstyp: Begründung</t>
  </si>
  <si>
    <t>1a Type d'investissement : justification</t>
  </si>
  <si>
    <t>Als Neuanlagen gilt</t>
  </si>
  <si>
    <t>Est réputée nouvelle installation</t>
  </si>
  <si>
    <t>eine Anlage, die ein hydraulisches Potenzial erstmals nutzt</t>
  </si>
  <si>
    <t>une installation qui utilise un potentiel hydraulique pour la première fois</t>
  </si>
  <si>
    <t>E considerato nuovo impianto</t>
  </si>
  <si>
    <t>un impianto che utilizza per la prima volta un potenziale idraulico</t>
  </si>
  <si>
    <t>Projektierungsbeitrag</t>
  </si>
  <si>
    <t>Contribution pour les études de projet</t>
  </si>
  <si>
    <t>Contributo di progettazione</t>
  </si>
  <si>
    <t>Belege zum Investitionstyp (Neuanlage, erhebliche Erweiterung oder Erneuerung)</t>
  </si>
  <si>
    <t>Preuves du type d'investissement (nouvelle installation, agrandissement ou rénovation notable</t>
  </si>
  <si>
    <t>Attestati inerenti al tipo d'investimento (nuovo impianto, ampliamento o rinnovamento considerevole)</t>
  </si>
  <si>
    <t>Ergebnis gleitende Marktprämie</t>
  </si>
  <si>
    <t>Résultat prime de marché flottante</t>
  </si>
  <si>
    <t>Risultato premio di mercato fluttuante</t>
  </si>
  <si>
    <t>Anderweitig vergütete Kosten sind in Blatt 3 als nicht anrechenbare Kosten aufzuführen.</t>
  </si>
  <si>
    <t>Les coûts qui sont indemnisés d’une autre manière doivent être indiqués dans la feuille 3 comme frais non imputables.</t>
  </si>
  <si>
    <t>I costi rimunerati in altro modo devono essere indicati nel foglio 3 come costi non computabili</t>
  </si>
  <si>
    <t>Der Gesuchsteller/die Gesuchstellerin nimmt zur Kenntnis, dass die aufgrund der Gesuchsangaben berechteten Werte in Ziffer 9 und 10 provisorisch sind. Das BFE teilt die voraussichtliche Höhe des Vergützungssatzes und des Investitionsbeitrags nach erfolgter Gesuchsprüfung mit (Mitteilung des BFE für die Ausübung des Wahlrechts, Art. 30bsepties EnFV).</t>
  </si>
  <si>
    <t>Le requérant / la requérante prend acte du fait que les valeurs indiquées aux chiffres 9 et 10, calculées sur la base des informations fournies dans la demande, sont provisoires. l’OFEN lui communique le montant probable du taux de rétribution et de la contribution d’investissement après avoir examiné la demande (Communication de l'OFEN pour l'exercice du droit d'option, Art. 30bsepties OEneR).</t>
  </si>
  <si>
    <t>La / il richiedente prende atto che i valori indicati ai punti 9 e 10, calcolati sulla base delle informazioni fornite nella domanda, sono provvisori. L'UFE gli comunica l’ammontare presunto del tasso di rimunerazione e del contributo d’investimento dopo aver esaminato la domanda (Comunicazione dell'UFE per l'esercizio del diritto di scelta, Art. 30bsepties OPEn).</t>
  </si>
  <si>
    <t>Mit der Unterschrift erklärt der Gesuchsteller/die Gesuchstellerin (bzw. die zur rechtsgültigen Unterschrift berechtigte Person oder Personen), dass die in den Formularen und den Beilagen gemachten Angabe der Wahrheit entsprechen.</t>
  </si>
  <si>
    <t>En apposant sa signature à la présente demande, le requérant / la requérante (resp. la ou les personnes ayants droit de signature) atteste que les informations fournies dans le présent formulaire et ses annexes sont véridiques.</t>
  </si>
  <si>
    <t>Con la firma della presenta domanda la / il richiedente (risp. la persona o le persone aventi diritto di firma) dichiara la veridicità delle informazioni contenute nella stessa e nei suoi allegati.</t>
  </si>
  <si>
    <t>Transmission électronique des affaires et des documents (e-transmission OFEN)</t>
  </si>
  <si>
    <t>Trasmissione elettronica di transazioni e documenti (trasmissione elettronica UFE)</t>
  </si>
  <si>
    <t>Eine Kopie der rechtskräftigen Baubewilligung sowie eine Rechtskraftbescheinigung ausgestellt durch die zuständige Behörde oder der Nachweis der Baureife des Projekts sowie eine Bestätigung der Baubewilligungsfreiheit durch die zuständige Behörde ist diesem Gesuch beizulegen.</t>
  </si>
  <si>
    <t>Die angegebenen Daten (Baubeginn und Inbetriebnahme) sind für die Realisierung des Projekts bindend.</t>
  </si>
  <si>
    <t>Die Auflistung der Investitionskosten ist nach den Vorgaben des BFE zu erstellen (LINK) und mit der entsprechenden Dokumentation diesem Gesuch beizulegen.</t>
  </si>
  <si>
    <t>Sämtliche Angaben sind im Projektbeschrieb bzw. in der technischen Beschreibung der Anlage zu begründen und zu belegen. Begründung und Belege sind diesem Gesuch beizulegen.</t>
  </si>
  <si>
    <t>Das Gesuch kann erst gestellt werden, wenn eine rechtskräftige Baubewilligung vorliegt oder, sofern für ein Projekt keine Baubewilligung erforderlich ist, die Baureife des Projekts nachgewiesen ist (Art. 53 Abs. 2 EnFV).</t>
  </si>
  <si>
    <r>
      <t xml:space="preserve">Veuillez joindre à la demande une copie du permis de construire exécutoire ainsi qu'une </t>
    </r>
    <r>
      <rPr>
        <sz val="10"/>
        <color rgb="FF000000"/>
        <rFont val="Arial"/>
        <family val="2"/>
      </rPr>
      <t>attestation de la force exécutoire</t>
    </r>
    <r>
      <rPr>
        <sz val="10"/>
        <color theme="1"/>
        <rFont val="Arial"/>
        <family val="2"/>
      </rPr>
      <t xml:space="preserve"> établi par l'autorité compétente ou la preuve que le projet est apte à la construction ainsi que la confirmation de l’autorité compétente qu’aucun permis de construire n’est requis.</t>
    </r>
  </si>
  <si>
    <t>Les dates indiquées (début des travaux et mise en service) sont contraignantes pour la réalisation du projet.</t>
  </si>
  <si>
    <t>La liste des coûts d’investissement doit être établie selon les consignes de l’OFEN en la matière (LIEN) et annexée à la présente demande avec la documentation correspondante.</t>
  </si>
  <si>
    <t>Toutes les données doivent être justifiées et prouvées dans la description du projet relative à l’installation. Veuillez joindre les justificatifs à la présente demande.</t>
  </si>
  <si>
    <t>La domande può essere presentata soltanto quando sussiste una licenza di costruzione passata in giudicato o, se per un progetto non occorre una licenza di costruzione, quando è dimostrato che il progetto è pronto alla realizzazione (art. 53 cpv. 2 OPEn).</t>
  </si>
  <si>
    <t>La demande ne peut être présentée qu’après l’obtention d’un permis de construire exécutoire ou, si le projet ne nécessite aucun permis de construire, qu’une fois la constructibilité du projet démontrée (art. 53, al. 2, OEneR).</t>
  </si>
  <si>
    <t>Occorre allegare alla presente domanda la copia della licenza di costruzione passata in giudicato nonché un'attestazione della forza di cosa giudicata rilasciata dall'autorità competente o la prova che il progetto è pronto alla realizzazione con una conferma dell’autorità competente che il progetto non necessita di un permesso di costruzione.</t>
  </si>
  <si>
    <t>Le date indicate (inizio dei lavori e messa in esercizio) sono vincolanti per la realizzazione del progetto.</t>
  </si>
  <si>
    <t>Tutte i dati indicati devono essere motivati e attestati nella descrizione del progetto o nella descrizione tecnica dell’impianto. Occorre allegare gli attestati alla presente domanda.</t>
  </si>
  <si>
    <t>La présence d’une exception aux limites inférieures de puissance doit être justifiée et prouvée au sens des art. 26, LEne ou art. 9, OEneR. Veuillez joindre les justificatifs à la présente demande.</t>
  </si>
  <si>
    <t>La presenza di una deroga ai limiti inferiori di potenza secondo gli art. 26 LEne o art. 9 OPEn dev’essere motivata e attestata. Occorre allegare gli attestati alla presente domanda.</t>
  </si>
  <si>
    <t xml:space="preserve">Die schwerwiegenden Nachteile sind zu begründen und zu belegen. </t>
  </si>
  <si>
    <t>Les préjudices sérieux doivent être justifiés et prouvés.</t>
  </si>
  <si>
    <t>Occorre fornire una motivazione e attestare i gravi inconvenienti.</t>
  </si>
  <si>
    <t>Allfällige anderweitige Finanzhilfen, die für das Projekt beantragt oder bereits gesprochen wurden, sind hier aufzuführen. Die Gesuche bzw. gegebenenfalls die die Finanzhilfe gewährenden Dokumente sind dem Gesuch als Beilage anzufügen.</t>
  </si>
  <si>
    <t>Veuillez mentionner dans le tableau suivant les éventuelles autres aides financières que vous avez demandées ou déjà perçues pour le projet. Nous vous prions de joindre à la présente demande une copie des autres demandes ou des attestations d’aide financières.</t>
  </si>
  <si>
    <t>Eventuali ulteriori aiuti finanziari richiesti o assicurati per questo progetto sono da elencare nella tabella sottostante. Le domande o le attestazioni di aiuto finanziario devono essere allegate alla presente domanda.</t>
  </si>
  <si>
    <t xml:space="preserve">Wer beabsichtigt, einen Investitionsbeitrag in Anspruch zu nehmen, darf mit den Bauarbeiten erst beginnen, nachdem das BFE eine Zusicherung abgegeben hat (Art. 28 EnG).
Das BFE kann den früheren Baubeginn bewilligen, wenn es mit schwerwiegenden Nachteilen verbunden wäre, die Zusicherung dem Grundsatz nach abzuwarten. Diese Bewilligung gibt keinen Anspruch auf einen Investitionsbeitrag (Art. 32 EnFV). Der frühere Baubeginn kann auch zu einem späteren Zeitpunkt beantragt werden. </t>
  </si>
  <si>
    <t>Chi intende beneficiare di un contributo d’investimento, può iniziare i lavori di costruzione soltanto dopo che l’UFE ha dato la propria garanzia (art. 28 LEne). 
L’UFE può autorizzare l’inizio anticipato dei lavori, se attendere la garanzia di principio comporterebbe gravi inconvenienti. L’autorizzazione non dà alcun diritto a un contributo d’investimento (art. 32 OPEn).  L’inizio anticipato dei lavori può essere richiesto anche in un secondo momento.</t>
  </si>
  <si>
    <t>Quiconque envisage de solliciter une contribution d’investissement n’est autorisé à commencer les travaux de construction qu’après que l’OFEN en a garanti l’octroi (art. 28 LEnE).
L’OFEN peut autoriser un début anticipé des travaux lorsque l'attente de la garantie de principe impliquerait de sérieux préjudices. Cette autorisation ne donne pas droit à une contribution d’investissement (art. 32 OEneR). Il est également possible de demander le début anticipé des travaux à un moment ultérieur.</t>
  </si>
  <si>
    <t>Dass eine Ausnahme von der Untergrenze gemäss Art. 26 EnG oder Art. 9 EnFV vorliegt, ist zu begründen und zu belegen. Begründung und Belege sind diesem Gesuch beizulegen.</t>
  </si>
  <si>
    <t>Die Reduktion des Investitionsbeitrags (Art. 61 Abs. 4 EnFV) kommt zum Tragen, wenn die Konzessionsrestdauer ab Inbetriebnahme der Anlage kleiner ist als die mittlere investitionsgewichtete Nutzungsdauer. Wenn eine Restwertvereinbarung vorliegt, die einen allfälligen Investitionsbeitrag angemessen berücksichtigt, so wird auf die Reduktion verzichtet. Die Restwertvereinbarung ist dem Gesuch beizulegen.</t>
  </si>
  <si>
    <t>La réduction de la contribution d’investissement (art. 61, al. 4, OEneR) a lieu quand la durée résiduelle de la concession de l’installation est inférieure à la durée moyenne d’utilisation. S’il existe une convention sur la valeur résiduelle qui prend en compte la contribution d’investissement éventuelle de manière appropriée, il n’y a pas de réduction. La convention sur la valeur résiduelle doit être jointe à la demande.</t>
  </si>
  <si>
    <t>La riduzione del contributo di investimento (art. 61 cpv. 4 OPEn) avviene quando il periodo di concessione restante dell’impianto è inferiore al periodo di utilizzazione medio. Qualora sussista un accordo sul valore residuo che tenga adeguatamente conto di eventuali contributi d’investimento, non è prevista alcuna riduzione. L'accordo sul valore residuo deve essere allegato alla domanda.</t>
  </si>
  <si>
    <t>siehe Blatt 1a</t>
  </si>
  <si>
    <t>voir feuille 1a</t>
  </si>
  <si>
    <t>vedi foglio 1a</t>
  </si>
  <si>
    <t>Legge federale sull'energia (RS 730.0) LEne</t>
  </si>
  <si>
    <t>Energiegesetz (EnG) vom 30. September 2015 (SR 730.0)</t>
  </si>
  <si>
    <t>Energieförderungsverordnung (EnFV) vom 1. November 2017 (SR 730.03)</t>
  </si>
  <si>
    <t>Loi sur l'énergie (LEne) du 30 septembre 2016 (RS 730.0)</t>
  </si>
  <si>
    <t>Ordonnance sur l’encouragement de la production d’électricité issue d’énergies renouvelables (OEneR) du 1er novembre 2017 (RS 730.03)</t>
  </si>
  <si>
    <t>Ordinanza sulla promozione dell’energia (OPEn) del 1o novembre 2017 (RS 730.03)</t>
  </si>
  <si>
    <t>Investitionsbeiträge Wasserkraft</t>
  </si>
  <si>
    <t>Direttive, schede invormative (sito web UFE)</t>
  </si>
  <si>
    <t>Contributi d'investimento per la forza idrica</t>
  </si>
  <si>
    <t xml:space="preserve">Premio di mercato fluttuante forza idrica </t>
  </si>
  <si>
    <t>Instructions, fiches d'information (site web OFEN)</t>
  </si>
  <si>
    <t>Contributions d'investissement pour la force hydraulique</t>
  </si>
  <si>
    <t>Prime de marché flottante force hydraulique</t>
  </si>
  <si>
    <t>Wegleitungen, Faktenblätter (BFE-Webseite)</t>
  </si>
  <si>
    <t>Gleitende Marktprämie Wasserkraft</t>
  </si>
  <si>
    <t>Kontakt</t>
  </si>
  <si>
    <t>Contact</t>
  </si>
  <si>
    <t>Contatti</t>
  </si>
  <si>
    <t>Recht</t>
  </si>
  <si>
    <t>Links / Kontakt</t>
  </si>
  <si>
    <t>Link / contatti</t>
  </si>
  <si>
    <t>Liens / contact</t>
  </si>
  <si>
    <t>Wenn bereits ein Projektierungsbeitrag in Anspruch genommen wurde, wird dieser später vom Investitionsbeitrag in Abzug gebracht.</t>
  </si>
  <si>
    <t>Si une contribution pour les études de projet a été allouée antérieurement, celle-ci sera déduite de la contribution d'investissement.</t>
  </si>
  <si>
    <t>Se in precendenza è stato concesso un contributo per la proggettazione, questo verrà detratto dal contributo d'investimento.</t>
  </si>
  <si>
    <t>Provisorischer berechneter Wert</t>
  </si>
  <si>
    <t>Valeur provisoire calculée</t>
  </si>
  <si>
    <t>Valore provvisorio calcolato</t>
  </si>
  <si>
    <t>Begründung</t>
  </si>
  <si>
    <t>Veuillez cocher les critères remplis pour le type d'investissement sélectionné (valeur tirée de la feuille "DÉBUT")</t>
  </si>
  <si>
    <t>Contrassegnare i criteri soddisfatti per il tipo di investimento (valore dal foglio "INIZIO"</t>
  </si>
  <si>
    <t>Bitte kreuzen Sie die zutreffenden Kriterien für den gewählten Investitionstyp (Wert aus Blatt "Start") an</t>
  </si>
  <si>
    <r>
      <rPr>
        <b/>
        <sz val="10"/>
        <color theme="0" tint="-0.34998626667073579"/>
        <rFont val="Arial"/>
        <family val="2"/>
      </rPr>
      <t>2. Mittlere monatliche Zuflüsse zu den einzelnen Wasserfassungen oder Speichern</t>
    </r>
    <r>
      <rPr>
        <sz val="10"/>
        <color theme="0" tint="-0.34998626667073579"/>
        <rFont val="Arial"/>
        <family val="2"/>
      </rPr>
      <t xml:space="preserve">
</t>
    </r>
  </si>
  <si>
    <t>2. Monatliche Nettoproduktion der Anlage oder des Anlagenverbunds</t>
  </si>
  <si>
    <t>3. HKN-Produktion</t>
  </si>
  <si>
    <t>4. Zubringer-Pumpenstrom</t>
  </si>
  <si>
    <t>5. Umwälz-Pumpenstrom</t>
  </si>
  <si>
    <t>6. Für steuerbare Anlage mit einer Leistung &gt; 3 MW: Daten und Angaben, die für eine Modellierung in einer Software zur Kraftwerkseinsatzoptimierung notwendig sind</t>
  </si>
  <si>
    <t>7. Weitere Angaben (als Beilagen oder in den technischen Bericht integriert)</t>
  </si>
  <si>
    <t>Verbrauch</t>
  </si>
  <si>
    <t>Consommation</t>
  </si>
  <si>
    <t>Consumo</t>
  </si>
  <si>
    <t>Erwartete Produktion 
→ nach Investition *</t>
  </si>
  <si>
    <t>Production attendue
→ après investissement *</t>
  </si>
  <si>
    <t>Produzione prevista
→ dopo l'investimento *</t>
  </si>
  <si>
    <t>Erwartete Mehrproduktion** aus Investition</t>
  </si>
  <si>
    <t>Production supplémentaire attendue** résultant de l’investissement</t>
  </si>
  <si>
    <t>Aumento previsto della produzione** grazie all'investimento</t>
  </si>
  <si>
    <t>** Die erwartete Mehrproduktion entspricht nicht der Definition der Mehrproduktion in den Vollzugsjahren. Letztere wird i.d.R. aus der Nettoproduktion und einem Prozentsatz berechnet (siehe EnFV, Anhang 6.1, Ziffer 4.3 jährliche Mehrproduktion)</t>
  </si>
  <si>
    <t>** La production supplémentaire attendue ne correspond pas à la définition de la production supplémentaire dans les années d’exécution. Cette dernière est généralement calculée à partir de la production nette et d’un pourcentage (voir OEneR, annexe 6.1, ch. 4.3 Production supplémentaire annuelle).</t>
  </si>
  <si>
    <t>** La produzione supplementare prevista non corrisponde alla definizione di produzione supplementare negli anni di esecuzione. Quest'ultima è generalmente calcolata sulla base della produzione netta e di una percentuale (cfr. OEnF, allegato 6.1, punto 4.3 Produzione supplementare annuale).</t>
  </si>
  <si>
    <t>les courbes de puissance de toutes les turbines et pompes en fonction des niveaux des lacs d’accumulation</t>
  </si>
  <si>
    <t>die Leistungskurven aller Turbinen und Pumpen in Abhängigkeit von Seeständen</t>
  </si>
  <si>
    <t>* Für das ganze Jahr der Inbetriebnahme ausfüllen, auch wenn diese unterjährig erfolgt</t>
  </si>
  <si>
    <t>* Remplir pour toute l'année de mise en service, même si celle-ci a lieu en cours d'année</t>
  </si>
  <si>
    <t>* Compilare per l'intero anno di messa in esercizio, anche se qusta avviene nel corso dell'anno</t>
  </si>
  <si>
    <t>Produzione GO prevista durante l'anno di messa in esercizio
→ dopo l'investimento</t>
  </si>
  <si>
    <t>Energia elettrica prevista per la pompa nell'anno di messa in esercizio
→ dopo l'investimento</t>
  </si>
  <si>
    <t>Gemäss Artikel 34 Absatz 1bis des Bundesgesetzes über das Verwaltungsverfahren (VwVG, SR 172.021) in Verbindung mit Artikel 8 der Verordnung über die elektronische Übermittlung im Rahmen eines Verwaltungsverfahrens (VeÜ-VwV, SR 172.021.2) kann die Behörde einer Partei eine Verfügung auf elektronischem Weg eröffnen, sofern die Partei dieser Art der Mitteilung im Rahmen des konkreten Verfahrens zugestimmt hat. Die Zustimmung kann jederzeit widerrufen werden.</t>
  </si>
  <si>
    <t>Conformément à l’art. 34, al. 1bis de la loi fédérale sur la procédure administrative (PA, RS 172.021) en relation avec l’art. 8 de l’ordonnance sur la communication électronique dans le cadre d’une procédure administrative (OCEl-PA, RS 172.021.2), l’autorité peut notifier une décision à une partie par voie électronique, pour autant que la partie ait accepté ce type de communication dans le cadre de la procédure concrète. Ce consentement peut être révoqué à tout moment.</t>
  </si>
  <si>
    <t>Ai sensi dell’art. 34 cpv. 1bis della Legge federale sulla procedura amministrativa (PA, RS 172.021) in combinato disposto con l’art. 8 dell’Ordinanza sulla trasmissione elettronica nei procedimenti amministrativi (OCE-PA, RS 172.021.2), l’autorità può emettere una decisione nei confronti di una parte per via elettronica, a condizione che la parte abbia acconsentito a questo tipo di comunicazione nel contesto del procedimento specifico. Il consenso può essere revocato in qualsiasi momento.</t>
  </si>
  <si>
    <t xml:space="preserve">Ja, ich stimme zu </t>
  </si>
  <si>
    <t>Nein, ich stimme nicht zu (Eröffnung in Papierform)</t>
  </si>
  <si>
    <t>Eröffnung auf elektronischem Weg</t>
  </si>
  <si>
    <t>Notification par voie électronique</t>
  </si>
  <si>
    <t>Oui, j'accepte</t>
  </si>
  <si>
    <t>Non, je n'accepte pas (notification sous forme papier)</t>
  </si>
  <si>
    <t>Notifica per via elettronica</t>
  </si>
  <si>
    <t>Sì, acconsento</t>
  </si>
  <si>
    <t>Non acconsento (invio in forma cartacea)</t>
  </si>
  <si>
    <t>Eröffnung aller Verfügungen im Zusammenhang mit diesem Verfahren auf elektronischem Weg (an die E-Mail-Adresse des Gesuchstellers / der Gesuchstellerin gemäss Ziffer 1 dieses Formulars):</t>
  </si>
  <si>
    <t>Notification de toutes les décisions en lien avec cette procédure par voie électronique (à l’adresse e-mail du requérant / de le requérante indiquée au point 1 du présent formulaire) :</t>
  </si>
  <si>
    <t>Notifica di tutte le decisioni del presente procedimento per via elettronica (all’indirizzo e-mail del richiedente indicato al punto 1 del presente modulo):</t>
  </si>
  <si>
    <t>le schéma de l’installation montrant les principaux composants hydrauliques et leurs connexions (schéma hydraulique)</t>
  </si>
  <si>
    <t>Pertes de production</t>
  </si>
  <si>
    <t>Justificatifs des pertes de production déclarés (énergie et prix correspondants)</t>
  </si>
  <si>
    <t>(Wasserzins plus besondere kantonale Steuer gemäss Art. 49 WRG)</t>
  </si>
  <si>
    <t>(Canone annuo più imposta cantonale speciale ai sensi dell'art. 49 LUFI)</t>
  </si>
  <si>
    <t>(Redevance hydraulique plus impôt spécial cantonal conformément à l'art. 49 LFH)</t>
  </si>
  <si>
    <r>
      <t xml:space="preserve">Durch Investition bedingte Mehrproduktion </t>
    </r>
    <r>
      <rPr>
        <vertAlign val="subscript"/>
        <sz val="10"/>
        <color theme="1"/>
        <rFont val="Arial"/>
        <family val="2"/>
      </rPr>
      <t>netto</t>
    </r>
  </si>
  <si>
    <t>Provisorischer Wert aus Blatt</t>
  </si>
  <si>
    <t>Valeur provisoire tirée de la feuille</t>
  </si>
  <si>
    <t>Valore provvisorio dal foglio</t>
  </si>
  <si>
    <t>Vergütungssatz berechnet</t>
  </si>
  <si>
    <t>Taux de rétribution calculé</t>
  </si>
  <si>
    <t>tasso di rimunerazione calcolato</t>
  </si>
  <si>
    <r>
      <t>Investition pro Mehrproduktion aus Investition (</t>
    </r>
    <r>
      <rPr>
        <u/>
        <sz val="10"/>
        <color theme="0" tint="-0.499984740745262"/>
        <rFont val="Arial"/>
        <family val="2"/>
      </rPr>
      <t>ohne</t>
    </r>
    <r>
      <rPr>
        <sz val="10"/>
        <color theme="0" tint="-0.499984740745262"/>
        <rFont val="Arial"/>
        <family val="2"/>
      </rPr>
      <t xml:space="preserve"> neue Speicherkapazität)</t>
    </r>
  </si>
  <si>
    <r>
      <t>Investition pro Mehrproduktion aus Investition (</t>
    </r>
    <r>
      <rPr>
        <u/>
        <sz val="10"/>
        <color theme="0" tint="-0.499984740745262"/>
        <rFont val="Arial"/>
        <family val="2"/>
      </rPr>
      <t>inkl.</t>
    </r>
    <r>
      <rPr>
        <sz val="10"/>
        <color theme="0" tint="-0.499984740745262"/>
        <rFont val="Arial"/>
        <family val="2"/>
      </rPr>
      <t xml:space="preserve"> neue Speicherkapazität)</t>
    </r>
  </si>
  <si>
    <r>
      <t xml:space="preserve">Ventes </t>
    </r>
    <r>
      <rPr>
        <i/>
        <sz val="10"/>
        <color theme="0" tint="-0.499984740745262"/>
        <rFont val="Arial"/>
        <family val="2"/>
      </rPr>
      <t>day-ahead</t>
    </r>
  </si>
  <si>
    <r>
      <t>Gleitende Marktprämie absolut
 welche mit Vorjahresdaten hätte erzielt werden können</t>
    </r>
    <r>
      <rPr>
        <b/>
        <sz val="10"/>
        <color theme="0" tint="-0.499984740745262"/>
        <rFont val="Arial"/>
        <family val="2"/>
      </rPr>
      <t xml:space="preserve">
</t>
    </r>
    <r>
      <rPr>
        <sz val="10"/>
        <color theme="0" tint="-0.499984740745262"/>
        <rFont val="Arial"/>
        <family val="2"/>
      </rPr>
      <t xml:space="preserve"> (+ vom NZF zum Projekt, - vom Projekt zum NZF)</t>
    </r>
  </si>
  <si>
    <t>DEBQ
Maturity
Q4/2024 – Q3/2025</t>
  </si>
  <si>
    <t>DEBY
Maturity
2025</t>
  </si>
  <si>
    <t>Q1/2024 – Q3/2024</t>
  </si>
  <si>
    <t>Q4/2023</t>
  </si>
  <si>
    <t>Termin</t>
  </si>
  <si>
    <t>Die Beschaffung der Wasserkraftreserve für kommenden Winter ist erfolgt</t>
  </si>
  <si>
    <t>1. Auktion</t>
  </si>
  <si>
    <t>EUR/MWh</t>
  </si>
  <si>
    <t>2. Auktion</t>
  </si>
  <si>
    <t>3. Auktion</t>
  </si>
  <si>
    <r>
      <t>FX</t>
    </r>
    <r>
      <rPr>
        <vertAlign val="subscript"/>
        <sz val="10"/>
        <color theme="1"/>
        <rFont val="Arial"/>
        <family val="2"/>
      </rPr>
      <t>Monat</t>
    </r>
  </si>
  <si>
    <t>Q4/2023 – Q3/2024</t>
  </si>
  <si>
    <t>Werte aus Abschnitt 2</t>
  </si>
  <si>
    <t>Valeurs de la section 2</t>
  </si>
  <si>
    <t>Valori della sezione 2</t>
  </si>
  <si>
    <t>Version 1.0 März 2026</t>
  </si>
  <si>
    <t>Version 1.0 mars 2026</t>
  </si>
  <si>
    <t>Versione 1.0 marzo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</si>
</sst>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quot;CHF&quot;\ * #,##0.00_ ;_ &quot;CHF&quot;\ * \-#,##0.00_ ;_ &quot;CHF&quot;\ * &quot;-&quot;??_ ;_ @_ "/>
    <numFmt numFmtId="43" formatCode="_ * #,##0.00_ ;_ * \-#,##0.00_ ;_ * &quot;-&quot;??_ ;_ @_ "/>
    <numFmt numFmtId="164" formatCode="0.0"/>
    <numFmt numFmtId="165" formatCode="0.0%"/>
    <numFmt numFmtId="166" formatCode="#,##0.0"/>
    <numFmt numFmtId="167" formatCode="#,##0_ ;[Red]\-#,##0\ "/>
    <numFmt numFmtId="168" formatCode="0_ ;[Red]\-0\ "/>
    <numFmt numFmtId="169" formatCode="#,##0.00_ ;[Red]\-#,##0.00\ "/>
    <numFmt numFmtId="170" formatCode="_ * #,##0_ ;_ * \-#,##0_ ;_ * &quot;-&quot;??_ ;_ @_ "/>
    <numFmt numFmtId="171" formatCode="#,##0.000"/>
    <numFmt numFmtId="172" formatCode="0.000"/>
    <numFmt numFmtId="173" formatCode="dd/mm/"/>
  </numFmts>
  <fonts count="76" x14ac:knownFonts="1">
    <font>
      <sz val="10"/>
      <color theme="1"/>
      <name val="Arial"/>
      <family val="2"/>
    </font>
    <font>
      <sz val="10"/>
      <color theme="1"/>
      <name val="Arial"/>
      <family val="2"/>
    </font>
    <font>
      <b/>
      <sz val="10"/>
      <color theme="0"/>
      <name val="Arial"/>
      <family val="2"/>
    </font>
    <font>
      <b/>
      <sz val="10"/>
      <color theme="1"/>
      <name val="Arial"/>
      <family val="2"/>
    </font>
    <font>
      <sz val="8"/>
      <color theme="1"/>
      <name val="Arial"/>
      <family val="2"/>
    </font>
    <font>
      <b/>
      <sz val="8"/>
      <color theme="1"/>
      <name val="Arial"/>
      <family val="2"/>
    </font>
    <font>
      <sz val="8"/>
      <name val="Arial"/>
      <family val="2"/>
    </font>
    <font>
      <sz val="10"/>
      <color rgb="FFC00000"/>
      <name val="Arial"/>
      <family val="2"/>
    </font>
    <font>
      <sz val="10"/>
      <name val="Arial"/>
      <family val="2"/>
    </font>
    <font>
      <b/>
      <sz val="10"/>
      <name val="Arial"/>
      <family val="2"/>
    </font>
    <font>
      <vertAlign val="subscript"/>
      <sz val="10"/>
      <color theme="1"/>
      <name val="Arial"/>
      <family val="2"/>
    </font>
    <font>
      <sz val="11"/>
      <color theme="1"/>
      <name val="Arial"/>
      <family val="2"/>
    </font>
    <font>
      <b/>
      <sz val="11"/>
      <color theme="1"/>
      <name val="Arial"/>
      <family val="2"/>
    </font>
    <font>
      <sz val="11"/>
      <name val="Arial"/>
      <family val="2"/>
    </font>
    <font>
      <sz val="11"/>
      <color theme="1"/>
      <name val="Aptos Narrow"/>
      <family val="2"/>
      <scheme val="minor"/>
    </font>
    <font>
      <b/>
      <sz val="14"/>
      <color theme="1"/>
      <name val="Arial"/>
      <family val="2"/>
    </font>
    <font>
      <b/>
      <sz val="12"/>
      <color theme="1"/>
      <name val="Arial"/>
      <family val="2"/>
    </font>
    <font>
      <b/>
      <sz val="26"/>
      <color theme="1"/>
      <name val="Arial"/>
      <family val="2"/>
    </font>
    <font>
      <i/>
      <sz val="8"/>
      <color theme="1"/>
      <name val="Arial"/>
      <family val="2"/>
    </font>
    <font>
      <b/>
      <i/>
      <sz val="14"/>
      <color theme="1"/>
      <name val="Arial"/>
      <family val="2"/>
    </font>
    <font>
      <b/>
      <sz val="10"/>
      <color rgb="FF000000"/>
      <name val="Arial"/>
      <family val="2"/>
    </font>
    <font>
      <sz val="10"/>
      <color rgb="FF000000"/>
      <name val="Arial"/>
      <family val="2"/>
    </font>
    <font>
      <sz val="11"/>
      <color rgb="FFFF0000"/>
      <name val="Arial"/>
      <family val="2"/>
    </font>
    <font>
      <i/>
      <sz val="8"/>
      <color theme="0"/>
      <name val="Arial"/>
      <family val="2"/>
    </font>
    <font>
      <b/>
      <sz val="11"/>
      <color rgb="FFFF0000"/>
      <name val="Arial"/>
      <family val="2"/>
    </font>
    <font>
      <sz val="9"/>
      <color theme="1"/>
      <name val="Arial"/>
      <family val="2"/>
    </font>
    <font>
      <sz val="9"/>
      <color rgb="FF000000"/>
      <name val="Arial"/>
      <family val="2"/>
    </font>
    <font>
      <i/>
      <sz val="9"/>
      <color theme="0"/>
      <name val="Arial"/>
      <family val="2"/>
    </font>
    <font>
      <sz val="9"/>
      <name val="Arial"/>
      <family val="2"/>
    </font>
    <font>
      <sz val="10"/>
      <color rgb="FFFF0000"/>
      <name val="Arial"/>
      <family val="2"/>
    </font>
    <font>
      <sz val="10"/>
      <color theme="0"/>
      <name val="Arial"/>
      <family val="2"/>
    </font>
    <font>
      <u/>
      <sz val="10"/>
      <color theme="1"/>
      <name val="Arial"/>
      <family val="2"/>
    </font>
    <font>
      <u/>
      <sz val="10"/>
      <color theme="10"/>
      <name val="Verdana"/>
      <family val="2"/>
    </font>
    <font>
      <b/>
      <sz val="10"/>
      <color rgb="FF0070C0"/>
      <name val="Arial"/>
      <family val="2"/>
    </font>
    <font>
      <b/>
      <sz val="10"/>
      <color rgb="FFC00000"/>
      <name val="Arial"/>
      <family val="2"/>
    </font>
    <font>
      <b/>
      <sz val="8"/>
      <color rgb="FFC00000"/>
      <name val="Arial"/>
      <family val="2"/>
    </font>
    <font>
      <b/>
      <sz val="8"/>
      <name val="Arial"/>
      <family val="2"/>
    </font>
    <font>
      <sz val="12"/>
      <color theme="1"/>
      <name val="Arial"/>
      <family val="2"/>
    </font>
    <font>
      <sz val="10"/>
      <color theme="3" tint="0.249977111117893"/>
      <name val="Arial"/>
      <family val="2"/>
    </font>
    <font>
      <sz val="10"/>
      <color theme="5" tint="0.39997558519241921"/>
      <name val="Arial"/>
      <family val="2"/>
    </font>
    <font>
      <i/>
      <sz val="10"/>
      <color rgb="FF000000"/>
      <name val="Arial"/>
      <family val="2"/>
    </font>
    <font>
      <i/>
      <sz val="10"/>
      <name val="Arial"/>
      <family val="2"/>
    </font>
    <font>
      <u/>
      <sz val="10"/>
      <color theme="10"/>
      <name val="Arial"/>
      <family val="2"/>
    </font>
    <font>
      <b/>
      <sz val="12"/>
      <name val="Arial"/>
      <family val="2"/>
    </font>
    <font>
      <i/>
      <sz val="10"/>
      <color theme="1"/>
      <name val="Arial"/>
      <family val="2"/>
    </font>
    <font>
      <i/>
      <sz val="8"/>
      <name val="Arial"/>
      <family val="2"/>
    </font>
    <font>
      <i/>
      <sz val="10"/>
      <color rgb="FFFF0000"/>
      <name val="Arial"/>
      <family val="2"/>
    </font>
    <font>
      <u/>
      <sz val="10"/>
      <name val="Arial"/>
      <family val="2"/>
    </font>
    <font>
      <vertAlign val="superscript"/>
      <sz val="10"/>
      <color rgb="FF000000"/>
      <name val="Arial"/>
      <family val="2"/>
    </font>
    <font>
      <u/>
      <sz val="10"/>
      <color rgb="FF000000"/>
      <name val="Arial"/>
      <family val="2"/>
    </font>
    <font>
      <sz val="10"/>
      <color rgb="FF1F2937"/>
      <name val="Arial"/>
      <family val="2"/>
    </font>
    <font>
      <b/>
      <sz val="12"/>
      <color rgb="FFFF0000"/>
      <name val="Arial"/>
      <family val="2"/>
    </font>
    <font>
      <sz val="12"/>
      <name val="Arial"/>
      <family val="2"/>
    </font>
    <font>
      <u/>
      <sz val="12"/>
      <color theme="10"/>
      <name val="Arial"/>
      <family val="2"/>
    </font>
    <font>
      <sz val="12"/>
      <color rgb="FFFF0000"/>
      <name val="Arial"/>
      <family val="2"/>
    </font>
    <font>
      <i/>
      <sz val="12"/>
      <color rgb="FFFF0000"/>
      <name val="Arial"/>
      <family val="2"/>
    </font>
    <font>
      <i/>
      <sz val="12"/>
      <name val="Arial"/>
      <family val="2"/>
    </font>
    <font>
      <u/>
      <sz val="12"/>
      <color theme="10"/>
      <name val="Verdana"/>
      <family val="2"/>
    </font>
    <font>
      <i/>
      <sz val="12"/>
      <color theme="1"/>
      <name val="Arial"/>
      <family val="2"/>
    </font>
    <font>
      <b/>
      <sz val="14"/>
      <name val="Arial"/>
      <family val="2"/>
    </font>
    <font>
      <u/>
      <sz val="11"/>
      <color theme="10"/>
      <name val="Arial"/>
      <family val="2"/>
    </font>
    <font>
      <b/>
      <sz val="12"/>
      <color theme="0"/>
      <name val="Arial"/>
      <family val="2"/>
    </font>
    <font>
      <b/>
      <sz val="12"/>
      <color theme="5" tint="-0.249977111117893"/>
      <name val="Arial"/>
      <family val="2"/>
    </font>
    <font>
      <b/>
      <sz val="12"/>
      <color theme="0" tint="-4.9989318521683403E-2"/>
      <name val="Arial"/>
      <family val="2"/>
    </font>
    <font>
      <u/>
      <sz val="12"/>
      <color theme="1"/>
      <name val="Verdana"/>
      <family val="2"/>
    </font>
    <font>
      <u/>
      <sz val="12"/>
      <color theme="1"/>
      <name val="Arial"/>
      <family val="2"/>
    </font>
    <font>
      <sz val="12"/>
      <color theme="0"/>
      <name val="Arial"/>
      <family val="2"/>
    </font>
    <font>
      <u/>
      <sz val="12"/>
      <color rgb="FF467886"/>
      <name val="Arial"/>
      <family val="2"/>
    </font>
    <font>
      <sz val="12"/>
      <color rgb="FF467886"/>
      <name val="Arial"/>
      <family val="2"/>
    </font>
    <font>
      <b/>
      <sz val="16"/>
      <color rgb="FFFF0000"/>
      <name val="Arial"/>
      <family val="2"/>
    </font>
    <font>
      <sz val="10"/>
      <color theme="0" tint="-0.34998626667073579"/>
      <name val="Arial"/>
      <family val="2"/>
    </font>
    <font>
      <b/>
      <sz val="10"/>
      <color theme="0" tint="-0.34998626667073579"/>
      <name val="Arial"/>
      <family val="2"/>
    </font>
    <font>
      <sz val="10"/>
      <color theme="0" tint="-0.499984740745262"/>
      <name val="Arial"/>
      <family val="2"/>
    </font>
    <font>
      <u/>
      <sz val="10"/>
      <color theme="0" tint="-0.499984740745262"/>
      <name val="Arial"/>
      <family val="2"/>
    </font>
    <font>
      <i/>
      <sz val="10"/>
      <color theme="0" tint="-0.499984740745262"/>
      <name val="Arial"/>
      <family val="2"/>
    </font>
    <font>
      <b/>
      <sz val="10"/>
      <color theme="0" tint="-0.499984740745262"/>
      <name val="Arial"/>
      <family val="2"/>
    </font>
  </fonts>
  <fills count="29">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rgb="FFC00000"/>
        <bgColor indexed="64"/>
      </patternFill>
    </fill>
    <fill>
      <patternFill patternType="solid">
        <fgColor theme="0" tint="-0.249977111117893"/>
        <bgColor indexed="64"/>
      </patternFill>
    </fill>
    <fill>
      <patternFill patternType="solid">
        <fgColor theme="0" tint="-0.14996795556505021"/>
        <bgColor indexed="64"/>
      </patternFill>
    </fill>
    <fill>
      <patternFill patternType="solid">
        <fgColor rgb="FFB2B2B2"/>
        <bgColor rgb="FF969696"/>
      </patternFill>
    </fill>
    <fill>
      <patternFill patternType="solid">
        <fgColor theme="1"/>
        <bgColor rgb="FF969696"/>
      </patternFill>
    </fill>
    <fill>
      <patternFill patternType="solid">
        <fgColor rgb="FFDDDDDD"/>
        <bgColor rgb="FFCCFFFF"/>
      </patternFill>
    </fill>
    <fill>
      <patternFill patternType="solid">
        <fgColor theme="0" tint="-4.9989318521683403E-2"/>
        <bgColor rgb="FFCCFFFF"/>
      </patternFill>
    </fill>
    <fill>
      <patternFill patternType="solid">
        <fgColor theme="8" tint="0.59999389629810485"/>
        <bgColor indexed="64"/>
      </patternFill>
    </fill>
    <fill>
      <patternFill patternType="solid">
        <fgColor theme="3" tint="0.749992370372631"/>
        <bgColor indexed="64"/>
      </patternFill>
    </fill>
    <fill>
      <patternFill patternType="solid">
        <fgColor theme="0"/>
        <bgColor indexed="64"/>
      </patternFill>
    </fill>
    <fill>
      <patternFill patternType="solid">
        <fgColor rgb="FF002060"/>
        <bgColor indexed="64"/>
      </patternFill>
    </fill>
    <fill>
      <patternFill patternType="solid">
        <fgColor theme="3" tint="0.89999084444715716"/>
        <bgColor indexed="64"/>
      </patternFill>
    </fill>
    <fill>
      <patternFill patternType="solid">
        <fgColor rgb="FFFFFF00"/>
        <bgColor indexed="64"/>
      </patternFill>
    </fill>
    <fill>
      <patternFill patternType="solid">
        <fgColor theme="9"/>
        <bgColor indexed="64"/>
      </patternFill>
    </fill>
    <fill>
      <patternFill patternType="solid">
        <fgColor rgb="FFFFC000"/>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0" tint="-4.9989318521683403E-2"/>
        <bgColor rgb="FF969696"/>
      </patternFill>
    </fill>
    <fill>
      <patternFill patternType="solid">
        <fgColor rgb="FFFFFFCC"/>
        <bgColor rgb="FFFFFF00"/>
      </patternFill>
    </fill>
  </fills>
  <borders count="107">
    <border>
      <left/>
      <right/>
      <top/>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bottom/>
      <diagonal/>
    </border>
    <border>
      <left style="hair">
        <color indexed="64"/>
      </left>
      <right/>
      <top style="thin">
        <color indexed="64"/>
      </top>
      <bottom style="hair">
        <color indexed="64"/>
      </bottom>
      <diagonal/>
    </border>
    <border>
      <left style="double">
        <color indexed="64"/>
      </left>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double">
        <color indexed="64"/>
      </left>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hair">
        <color indexed="64"/>
      </left>
      <right/>
      <top style="hair">
        <color indexed="64"/>
      </top>
      <bottom/>
      <diagonal/>
    </border>
    <border>
      <left style="thin">
        <color indexed="64"/>
      </left>
      <right/>
      <top style="hair">
        <color indexed="64"/>
      </top>
      <bottom/>
      <diagonal/>
    </border>
    <border>
      <left style="double">
        <color indexed="64"/>
      </left>
      <right/>
      <top style="hair">
        <color indexed="64"/>
      </top>
      <bottom/>
      <diagonal/>
    </border>
    <border>
      <left style="thin">
        <color indexed="64"/>
      </left>
      <right style="double">
        <color indexed="64"/>
      </right>
      <top style="hair">
        <color indexed="64"/>
      </top>
      <bottom/>
      <diagonal/>
    </border>
    <border>
      <left style="hair">
        <color indexed="64"/>
      </left>
      <right/>
      <top style="hair">
        <color indexed="64"/>
      </top>
      <bottom style="thin">
        <color indexed="64"/>
      </bottom>
      <diagonal/>
    </border>
    <border>
      <left style="double">
        <color indexed="64"/>
      </left>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right/>
      <top style="hair">
        <color indexed="64"/>
      </top>
      <bottom/>
      <diagonal/>
    </border>
    <border>
      <left/>
      <right style="hair">
        <color indexed="64"/>
      </right>
      <top/>
      <bottom style="thin">
        <color indexed="64"/>
      </bottom>
      <diagonal/>
    </border>
    <border>
      <left/>
      <right style="thin">
        <color indexed="64"/>
      </right>
      <top style="hair">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Dashed">
        <color indexed="64"/>
      </bottom>
      <diagonal/>
    </border>
    <border>
      <left style="thin">
        <color indexed="64"/>
      </left>
      <right style="thin">
        <color indexed="64"/>
      </right>
      <top style="thin">
        <color indexed="64"/>
      </top>
      <bottom style="mediumDashed">
        <color indexed="64"/>
      </bottom>
      <diagonal/>
    </border>
    <border>
      <left style="thin">
        <color indexed="64"/>
      </left>
      <right style="thin">
        <color indexed="64"/>
      </right>
      <top style="thin">
        <color indexed="64"/>
      </top>
      <bottom style="thick">
        <color indexed="64"/>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thin">
        <color indexed="64"/>
      </left>
      <right/>
      <top/>
      <bottom style="medium">
        <color indexed="64"/>
      </bottom>
      <diagonal/>
    </border>
    <border>
      <left style="mediumDashed">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medium">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medium">
        <color indexed="64"/>
      </bottom>
      <diagonal/>
    </border>
    <border>
      <left/>
      <right style="thin">
        <color theme="0"/>
      </right>
      <top/>
      <bottom style="thin">
        <color theme="0"/>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style="medium">
        <color theme="0"/>
      </right>
      <top/>
      <bottom/>
      <diagonal/>
    </border>
    <border>
      <left style="medium">
        <color theme="0"/>
      </left>
      <right/>
      <top/>
      <bottom/>
      <diagonal/>
    </border>
    <border>
      <left style="medium">
        <color theme="0"/>
      </left>
      <right style="medium">
        <color theme="0"/>
      </right>
      <top/>
      <bottom/>
      <diagonal/>
    </border>
    <border>
      <left/>
      <right style="medium">
        <color theme="0"/>
      </right>
      <top/>
      <bottom style="medium">
        <color theme="0"/>
      </bottom>
      <diagonal/>
    </border>
    <border>
      <left style="medium">
        <color theme="0"/>
      </left>
      <right/>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diagonal/>
    </border>
    <border>
      <left style="medium">
        <color theme="0"/>
      </left>
      <right/>
      <top style="medium">
        <color theme="0"/>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diagonal/>
    </border>
    <border>
      <left/>
      <right/>
      <top/>
      <bottom style="thick">
        <color theme="0"/>
      </bottom>
      <diagonal/>
    </border>
    <border>
      <left/>
      <right/>
      <top style="thick">
        <color theme="0"/>
      </top>
      <bottom style="thick">
        <color theme="0"/>
      </bottom>
      <diagonal/>
    </border>
    <border>
      <left/>
      <right/>
      <top style="thick">
        <color theme="0"/>
      </top>
      <bottom/>
      <diagonal/>
    </border>
    <border>
      <left style="medium">
        <color theme="0"/>
      </left>
      <right style="medium">
        <color theme="0"/>
      </right>
      <top style="medium">
        <color theme="0"/>
      </top>
      <bottom style="medium">
        <color theme="0"/>
      </bottom>
      <diagonal/>
    </border>
  </borders>
  <cellStyleXfs count="10">
    <xf numFmtId="0" fontId="0" fillId="0" borderId="0"/>
    <xf numFmtId="9" fontId="1" fillId="0" borderId="0" applyFont="0" applyFill="0" applyBorder="0" applyAlignment="0" applyProtection="0"/>
    <xf numFmtId="0" fontId="14" fillId="0" borderId="0"/>
    <xf numFmtId="9" fontId="14" fillId="0" borderId="0" applyFont="0" applyFill="0" applyBorder="0" applyAlignment="0" applyProtection="0"/>
    <xf numFmtId="43" fontId="1" fillId="0" borderId="0" applyFont="0" applyFill="0" applyBorder="0" applyAlignment="0" applyProtection="0"/>
    <xf numFmtId="0" fontId="32" fillId="0" borderId="0" applyNumberFormat="0" applyFill="0" applyBorder="0" applyAlignment="0" applyProtection="0"/>
    <xf numFmtId="0" fontId="1" fillId="0" borderId="0"/>
    <xf numFmtId="0" fontId="42" fillId="0" borderId="0" applyNumberFormat="0" applyFill="0" applyBorder="0" applyAlignment="0" applyProtection="0"/>
    <xf numFmtId="44" fontId="1" fillId="0" borderId="0" applyFont="0" applyFill="0" applyBorder="0" applyAlignment="0" applyProtection="0"/>
    <xf numFmtId="0" fontId="1" fillId="0" borderId="0"/>
  </cellStyleXfs>
  <cellXfs count="918">
    <xf numFmtId="0" fontId="0" fillId="0" borderId="0" xfId="0"/>
    <xf numFmtId="0" fontId="0" fillId="0" borderId="0" xfId="0" applyAlignment="1">
      <alignment horizontal="left" indent="1"/>
    </xf>
    <xf numFmtId="0" fontId="0" fillId="0" borderId="0" xfId="0" applyAlignment="1">
      <alignment horizontal="center"/>
    </xf>
    <xf numFmtId="0" fontId="0" fillId="0" borderId="0" xfId="0" applyAlignment="1">
      <alignment horizontal="right" indent="1"/>
    </xf>
    <xf numFmtId="0" fontId="0" fillId="0" borderId="0" xfId="0" applyAlignment="1">
      <alignment horizontal="left" vertical="center" indent="1"/>
    </xf>
    <xf numFmtId="0" fontId="4" fillId="0" borderId="0" xfId="0" applyFont="1" applyAlignment="1">
      <alignment horizontal="right" indent="1"/>
    </xf>
    <xf numFmtId="3" fontId="0" fillId="0" borderId="0" xfId="0" applyNumberFormat="1" applyAlignment="1">
      <alignment horizontal="right" indent="1"/>
    </xf>
    <xf numFmtId="0" fontId="3" fillId="0" borderId="0" xfId="0" applyFont="1"/>
    <xf numFmtId="3" fontId="0" fillId="0" borderId="0" xfId="0" applyNumberFormat="1"/>
    <xf numFmtId="9" fontId="0" fillId="0" borderId="0" xfId="1" applyFont="1"/>
    <xf numFmtId="0" fontId="8" fillId="0" borderId="0" xfId="0" applyFont="1" applyAlignment="1">
      <alignment horizontal="right" indent="1"/>
    </xf>
    <xf numFmtId="0" fontId="8" fillId="0" borderId="0" xfId="0" applyFont="1"/>
    <xf numFmtId="0" fontId="3" fillId="0" borderId="0" xfId="0" applyFont="1" applyAlignment="1">
      <alignment horizontal="left" indent="1"/>
    </xf>
    <xf numFmtId="0" fontId="0" fillId="0" borderId="0" xfId="0" applyAlignment="1">
      <alignment horizontal="center" vertical="center"/>
    </xf>
    <xf numFmtId="0" fontId="0" fillId="0" borderId="0" xfId="0" applyAlignment="1">
      <alignment horizontal="right"/>
    </xf>
    <xf numFmtId="0" fontId="3" fillId="0" borderId="0" xfId="0" applyFont="1" applyAlignment="1">
      <alignment horizontal="right"/>
    </xf>
    <xf numFmtId="0" fontId="0" fillId="0" borderId="0" xfId="0" applyProtection="1">
      <protection hidden="1"/>
    </xf>
    <xf numFmtId="0" fontId="8" fillId="0" borderId="0" xfId="0" applyFont="1" applyAlignment="1" applyProtection="1">
      <alignment vertical="center" wrapText="1"/>
      <protection hidden="1"/>
    </xf>
    <xf numFmtId="0" fontId="11" fillId="0" borderId="0" xfId="2" applyFont="1" applyAlignment="1">
      <alignment vertical="center"/>
    </xf>
    <xf numFmtId="0" fontId="11" fillId="0" borderId="0" xfId="2" applyFont="1" applyAlignment="1">
      <alignment horizontal="left" vertical="center"/>
    </xf>
    <xf numFmtId="49" fontId="11" fillId="0" borderId="0" xfId="2" applyNumberFormat="1" applyFont="1" applyAlignment="1">
      <alignment horizontal="left" vertical="center" wrapText="1"/>
    </xf>
    <xf numFmtId="49" fontId="11" fillId="0" borderId="0" xfId="2" applyNumberFormat="1" applyFont="1" applyAlignment="1">
      <alignment horizontal="center" vertical="center" wrapText="1"/>
    </xf>
    <xf numFmtId="1" fontId="11" fillId="0" borderId="0" xfId="2" applyNumberFormat="1" applyFont="1" applyAlignment="1">
      <alignment vertical="center" wrapText="1"/>
    </xf>
    <xf numFmtId="167" fontId="15" fillId="0" borderId="0" xfId="2" applyNumberFormat="1" applyFont="1" applyAlignment="1">
      <alignment horizontal="right" vertical="center" wrapText="1"/>
    </xf>
    <xf numFmtId="0" fontId="18" fillId="0" borderId="0" xfId="2" applyFont="1" applyAlignment="1">
      <alignment vertical="center"/>
    </xf>
    <xf numFmtId="3" fontId="11" fillId="0" borderId="0" xfId="2" applyNumberFormat="1" applyFont="1" applyAlignment="1">
      <alignment horizontal="center" vertical="center"/>
    </xf>
    <xf numFmtId="0" fontId="15" fillId="0" borderId="0" xfId="2" applyFont="1" applyAlignment="1">
      <alignment horizontal="left" vertical="center"/>
    </xf>
    <xf numFmtId="0" fontId="15" fillId="0" borderId="0" xfId="2" applyFont="1" applyAlignment="1">
      <alignment vertical="center"/>
    </xf>
    <xf numFmtId="49" fontId="15" fillId="0" borderId="0" xfId="2" applyNumberFormat="1" applyFont="1" applyAlignment="1">
      <alignment horizontal="left" vertical="center" wrapText="1"/>
    </xf>
    <xf numFmtId="49" fontId="15" fillId="0" borderId="0" xfId="2" applyNumberFormat="1" applyFont="1" applyAlignment="1">
      <alignment horizontal="center" vertical="center" wrapText="1"/>
    </xf>
    <xf numFmtId="1" fontId="15" fillId="0" borderId="0" xfId="2" applyNumberFormat="1" applyFont="1" applyAlignment="1">
      <alignment vertical="center" wrapText="1"/>
    </xf>
    <xf numFmtId="0" fontId="15" fillId="0" borderId="0" xfId="2" applyFont="1" applyAlignment="1">
      <alignment horizontal="right" vertical="center"/>
    </xf>
    <xf numFmtId="0" fontId="19" fillId="0" borderId="0" xfId="2" applyFont="1" applyAlignment="1">
      <alignment horizontal="left" vertical="center"/>
    </xf>
    <xf numFmtId="3" fontId="15" fillId="0" borderId="0" xfId="2" applyNumberFormat="1" applyFont="1" applyAlignment="1">
      <alignment horizontal="center" vertical="center"/>
    </xf>
    <xf numFmtId="167" fontId="15" fillId="0" borderId="0" xfId="2" applyNumberFormat="1" applyFont="1" applyAlignment="1">
      <alignment horizontal="right" vertical="center"/>
    </xf>
    <xf numFmtId="0" fontId="3" fillId="0" borderId="3" xfId="2" applyFont="1" applyBorder="1" applyAlignment="1">
      <alignment vertical="center"/>
    </xf>
    <xf numFmtId="0" fontId="15" fillId="0" borderId="3" xfId="2" applyFont="1" applyBorder="1" applyAlignment="1">
      <alignment horizontal="left" vertical="center"/>
    </xf>
    <xf numFmtId="49" fontId="15" fillId="0" borderId="3" xfId="2" applyNumberFormat="1" applyFont="1" applyBorder="1" applyAlignment="1">
      <alignment horizontal="left" vertical="center" wrapText="1"/>
    </xf>
    <xf numFmtId="49" fontId="15" fillId="0" borderId="3" xfId="2" applyNumberFormat="1" applyFont="1" applyBorder="1" applyAlignment="1">
      <alignment horizontal="center" vertical="center" wrapText="1"/>
    </xf>
    <xf numFmtId="1" fontId="15" fillId="0" borderId="3" xfId="2" applyNumberFormat="1" applyFont="1" applyBorder="1" applyAlignment="1">
      <alignment vertical="center" wrapText="1"/>
    </xf>
    <xf numFmtId="49" fontId="11" fillId="0" borderId="0" xfId="2" applyNumberFormat="1" applyFont="1" applyAlignment="1">
      <alignment horizontal="right" vertical="center"/>
    </xf>
    <xf numFmtId="4" fontId="11" fillId="0" borderId="0" xfId="2" applyNumberFormat="1" applyFont="1" applyAlignment="1">
      <alignment horizontal="right" vertical="center"/>
    </xf>
    <xf numFmtId="169" fontId="11" fillId="0" borderId="0" xfId="2" applyNumberFormat="1" applyFont="1" applyAlignment="1">
      <alignment horizontal="right" vertical="center"/>
    </xf>
    <xf numFmtId="167" fontId="11" fillId="0" borderId="0" xfId="2" applyNumberFormat="1" applyFont="1" applyAlignment="1">
      <alignment horizontal="right" vertical="center"/>
    </xf>
    <xf numFmtId="0" fontId="20" fillId="8" borderId="7" xfId="2" applyFont="1" applyFill="1" applyBorder="1" applyAlignment="1">
      <alignment horizontal="left" vertical="center"/>
    </xf>
    <xf numFmtId="0" fontId="20" fillId="8" borderId="8" xfId="2" applyFont="1" applyFill="1" applyBorder="1" applyAlignment="1">
      <alignment horizontal="left" vertical="center"/>
    </xf>
    <xf numFmtId="49" fontId="20" fillId="8" borderId="8" xfId="2" applyNumberFormat="1" applyFont="1" applyFill="1" applyBorder="1" applyAlignment="1">
      <alignment horizontal="left" vertical="center" wrapText="1"/>
    </xf>
    <xf numFmtId="49" fontId="20" fillId="8" borderId="8" xfId="2" applyNumberFormat="1" applyFont="1" applyFill="1" applyBorder="1" applyAlignment="1">
      <alignment horizontal="center" vertical="center" wrapText="1"/>
    </xf>
    <xf numFmtId="49" fontId="20" fillId="8" borderId="9" xfId="2" applyNumberFormat="1" applyFont="1" applyFill="1" applyBorder="1" applyAlignment="1">
      <alignment horizontal="center" vertical="center" wrapText="1"/>
    </xf>
    <xf numFmtId="167" fontId="21" fillId="0" borderId="0" xfId="2" applyNumberFormat="1" applyFont="1" applyAlignment="1">
      <alignment horizontal="right" vertical="center"/>
    </xf>
    <xf numFmtId="167" fontId="11" fillId="0" borderId="0" xfId="2" applyNumberFormat="1" applyFont="1" applyAlignment="1">
      <alignment horizontal="left" vertical="center"/>
    </xf>
    <xf numFmtId="0" fontId="21" fillId="0" borderId="10" xfId="2" applyFont="1" applyBorder="1" applyAlignment="1">
      <alignment horizontal="left" vertical="center"/>
    </xf>
    <xf numFmtId="0" fontId="21" fillId="0" borderId="11" xfId="2" applyFont="1" applyBorder="1" applyAlignment="1">
      <alignment horizontal="left" vertical="center"/>
    </xf>
    <xf numFmtId="49" fontId="21" fillId="0" borderId="11" xfId="2" applyNumberFormat="1" applyFont="1" applyBorder="1" applyAlignment="1">
      <alignment horizontal="left" vertical="center" wrapText="1"/>
    </xf>
    <xf numFmtId="167" fontId="11" fillId="5" borderId="2" xfId="2" applyNumberFormat="1" applyFont="1" applyFill="1" applyBorder="1" applyAlignment="1">
      <alignment horizontal="right" vertical="center"/>
    </xf>
    <xf numFmtId="0" fontId="11" fillId="0" borderId="0" xfId="2" applyFont="1" applyAlignment="1">
      <alignment horizontal="right" vertical="center"/>
    </xf>
    <xf numFmtId="0" fontId="21" fillId="0" borderId="18" xfId="2" applyFont="1" applyBorder="1" applyAlignment="1">
      <alignment horizontal="left" vertical="center"/>
    </xf>
    <xf numFmtId="0" fontId="21" fillId="0" borderId="19" xfId="2" applyFont="1" applyBorder="1" applyAlignment="1">
      <alignment horizontal="left" vertical="center"/>
    </xf>
    <xf numFmtId="49" fontId="21" fillId="0" borderId="19" xfId="2" applyNumberFormat="1" applyFont="1" applyBorder="1" applyAlignment="1">
      <alignment horizontal="left" vertical="center" wrapText="1"/>
    </xf>
    <xf numFmtId="167" fontId="11" fillId="10" borderId="2" xfId="2" applyNumberFormat="1" applyFont="1" applyFill="1" applyBorder="1" applyAlignment="1">
      <alignment horizontal="right" vertical="center"/>
    </xf>
    <xf numFmtId="167" fontId="11" fillId="0" borderId="0" xfId="2" applyNumberFormat="1" applyFont="1" applyAlignment="1">
      <alignment horizontal="center" vertical="center"/>
    </xf>
    <xf numFmtId="1" fontId="11" fillId="0" borderId="0" xfId="2" applyNumberFormat="1" applyFont="1" applyAlignment="1">
      <alignment vertical="center"/>
    </xf>
    <xf numFmtId="0" fontId="20" fillId="8" borderId="8" xfId="2" applyFont="1" applyFill="1" applyBorder="1" applyAlignment="1">
      <alignment horizontal="left" vertical="center" textRotation="90"/>
    </xf>
    <xf numFmtId="0" fontId="20" fillId="8" borderId="8" xfId="2" applyFont="1" applyFill="1" applyBorder="1" applyAlignment="1">
      <alignment horizontal="left" vertical="center" textRotation="90" wrapText="1"/>
    </xf>
    <xf numFmtId="0" fontId="20" fillId="8" borderId="7" xfId="2" applyFont="1" applyFill="1" applyBorder="1" applyAlignment="1">
      <alignment horizontal="center" vertical="center" wrapText="1"/>
    </xf>
    <xf numFmtId="0" fontId="20" fillId="8" borderId="7" xfId="2" applyFont="1" applyFill="1" applyBorder="1" applyAlignment="1">
      <alignment vertical="center" wrapText="1"/>
    </xf>
    <xf numFmtId="0" fontId="20" fillId="8" borderId="7" xfId="2" applyFont="1" applyFill="1" applyBorder="1" applyAlignment="1">
      <alignment horizontal="left" vertical="center" wrapText="1"/>
    </xf>
    <xf numFmtId="0" fontId="21" fillId="8" borderId="22" xfId="2" applyFont="1" applyFill="1" applyBorder="1" applyAlignment="1">
      <alignment horizontal="center" vertical="center" wrapText="1"/>
    </xf>
    <xf numFmtId="4" fontId="21" fillId="8" borderId="7" xfId="2" applyNumberFormat="1" applyFont="1" applyFill="1" applyBorder="1" applyAlignment="1">
      <alignment horizontal="center" vertical="center" wrapText="1"/>
    </xf>
    <xf numFmtId="169" fontId="21" fillId="8" borderId="23" xfId="2" applyNumberFormat="1" applyFont="1" applyFill="1" applyBorder="1" applyAlignment="1">
      <alignment horizontal="center" vertical="center" wrapText="1"/>
    </xf>
    <xf numFmtId="0" fontId="21" fillId="8" borderId="2" xfId="2" applyFont="1" applyFill="1" applyBorder="1" applyAlignment="1">
      <alignment horizontal="center" vertical="center" wrapText="1"/>
    </xf>
    <xf numFmtId="0" fontId="21" fillId="8" borderId="8" xfId="2" applyFont="1" applyFill="1" applyBorder="1" applyAlignment="1">
      <alignment horizontal="center" vertical="center" wrapText="1"/>
    </xf>
    <xf numFmtId="0" fontId="18" fillId="0" borderId="0" xfId="2" applyFont="1" applyAlignment="1">
      <alignment vertical="top" wrapText="1"/>
    </xf>
    <xf numFmtId="49" fontId="20" fillId="8" borderId="8" xfId="2" applyNumberFormat="1" applyFont="1" applyFill="1" applyBorder="1" applyAlignment="1">
      <alignment horizontal="left" vertical="center" textRotation="90" wrapText="1"/>
    </xf>
    <xf numFmtId="49" fontId="20" fillId="8" borderId="7" xfId="2" applyNumberFormat="1" applyFont="1" applyFill="1" applyBorder="1" applyAlignment="1">
      <alignment horizontal="center" vertical="center" wrapText="1"/>
    </xf>
    <xf numFmtId="1" fontId="20" fillId="8" borderId="7" xfId="2" applyNumberFormat="1" applyFont="1" applyFill="1" applyBorder="1" applyAlignment="1">
      <alignment vertical="center" wrapText="1"/>
    </xf>
    <xf numFmtId="49" fontId="21" fillId="8" borderId="7" xfId="2" applyNumberFormat="1" applyFont="1" applyFill="1" applyBorder="1" applyAlignment="1">
      <alignment horizontal="center" vertical="center" wrapText="1"/>
    </xf>
    <xf numFmtId="3" fontId="21" fillId="8" borderId="22" xfId="2" applyNumberFormat="1" applyFont="1" applyFill="1" applyBorder="1" applyAlignment="1">
      <alignment horizontal="right" vertical="center" wrapText="1"/>
    </xf>
    <xf numFmtId="4" fontId="21" fillId="8" borderId="7" xfId="2" applyNumberFormat="1" applyFont="1" applyFill="1" applyBorder="1" applyAlignment="1">
      <alignment horizontal="right" vertical="center" wrapText="1"/>
    </xf>
    <xf numFmtId="3" fontId="20" fillId="11" borderId="24" xfId="2" applyNumberFormat="1" applyFont="1" applyFill="1" applyBorder="1" applyAlignment="1">
      <alignment horizontal="right" vertical="center"/>
    </xf>
    <xf numFmtId="3" fontId="20" fillId="11" borderId="2" xfId="2" applyNumberFormat="1" applyFont="1" applyFill="1" applyBorder="1" applyAlignment="1">
      <alignment horizontal="right" vertical="center"/>
    </xf>
    <xf numFmtId="167" fontId="23" fillId="0" borderId="2" xfId="2" applyNumberFormat="1" applyFont="1" applyBorder="1" applyAlignment="1">
      <alignment vertical="center"/>
    </xf>
    <xf numFmtId="0" fontId="18" fillId="0" borderId="0" xfId="2" applyFont="1" applyAlignment="1">
      <alignment horizontal="center" vertical="center" textRotation="90" wrapText="1"/>
    </xf>
    <xf numFmtId="10" fontId="11" fillId="0" borderId="0" xfId="1" applyNumberFormat="1" applyFont="1" applyAlignment="1">
      <alignment vertical="center"/>
    </xf>
    <xf numFmtId="3" fontId="24" fillId="0" borderId="0" xfId="2" applyNumberFormat="1" applyFont="1" applyAlignment="1">
      <alignment vertical="center"/>
    </xf>
    <xf numFmtId="0" fontId="12" fillId="0" borderId="0" xfId="2" applyFont="1" applyAlignment="1">
      <alignment vertical="center"/>
    </xf>
    <xf numFmtId="0" fontId="20" fillId="12" borderId="7" xfId="2" applyFont="1" applyFill="1" applyBorder="1" applyAlignment="1">
      <alignment horizontal="left" vertical="center"/>
    </xf>
    <xf numFmtId="0" fontId="20" fillId="12" borderId="8" xfId="2" applyFont="1" applyFill="1" applyBorder="1" applyAlignment="1">
      <alignment horizontal="left" vertical="center"/>
    </xf>
    <xf numFmtId="49" fontId="20" fillId="12" borderId="8" xfId="2" applyNumberFormat="1" applyFont="1" applyFill="1" applyBorder="1" applyAlignment="1">
      <alignment horizontal="left" vertical="center" wrapText="1"/>
    </xf>
    <xf numFmtId="49" fontId="20" fillId="12" borderId="2" xfId="2" applyNumberFormat="1" applyFont="1" applyFill="1" applyBorder="1" applyAlignment="1">
      <alignment horizontal="center" vertical="center" wrapText="1"/>
    </xf>
    <xf numFmtId="1" fontId="20" fillId="12" borderId="7" xfId="2" applyNumberFormat="1" applyFont="1" applyFill="1" applyBorder="1" applyAlignment="1">
      <alignment vertical="center" wrapText="1"/>
    </xf>
    <xf numFmtId="49" fontId="20" fillId="12" borderId="7" xfId="2" applyNumberFormat="1" applyFont="1" applyFill="1" applyBorder="1" applyAlignment="1">
      <alignment horizontal="center" vertical="center" wrapText="1"/>
    </xf>
    <xf numFmtId="3" fontId="20" fillId="12" borderId="22" xfId="2" applyNumberFormat="1" applyFont="1" applyFill="1" applyBorder="1" applyAlignment="1">
      <alignment horizontal="right" vertical="center"/>
    </xf>
    <xf numFmtId="4" fontId="20" fillId="12" borderId="7" xfId="2" applyNumberFormat="1" applyFont="1" applyFill="1" applyBorder="1" applyAlignment="1">
      <alignment horizontal="right" vertical="center"/>
    </xf>
    <xf numFmtId="169" fontId="20" fillId="12" borderId="23" xfId="2" applyNumberFormat="1" applyFont="1" applyFill="1" applyBorder="1" applyAlignment="1">
      <alignment horizontal="right" vertical="center"/>
    </xf>
    <xf numFmtId="3" fontId="20" fillId="12" borderId="24" xfId="2" applyNumberFormat="1" applyFont="1" applyFill="1" applyBorder="1" applyAlignment="1">
      <alignment horizontal="right" vertical="center"/>
    </xf>
    <xf numFmtId="3" fontId="20" fillId="12" borderId="2" xfId="2" applyNumberFormat="1" applyFont="1" applyFill="1" applyBorder="1" applyAlignment="1">
      <alignment horizontal="right" vertical="center"/>
    </xf>
    <xf numFmtId="3" fontId="12" fillId="0" borderId="0" xfId="2" applyNumberFormat="1" applyFont="1" applyAlignment="1">
      <alignment horizontal="center" vertical="center"/>
    </xf>
    <xf numFmtId="0" fontId="20" fillId="3" borderId="7" xfId="2" applyFont="1" applyFill="1" applyBorder="1" applyAlignment="1">
      <alignment horizontal="left" vertical="center"/>
    </xf>
    <xf numFmtId="0" fontId="20" fillId="3" borderId="8" xfId="2" applyFont="1" applyFill="1" applyBorder="1" applyAlignment="1">
      <alignment horizontal="left" vertical="center"/>
    </xf>
    <xf numFmtId="49" fontId="20" fillId="3" borderId="8" xfId="2" applyNumberFormat="1" applyFont="1" applyFill="1" applyBorder="1" applyAlignment="1">
      <alignment horizontal="left" vertical="center" wrapText="1"/>
    </xf>
    <xf numFmtId="49" fontId="20" fillId="3" borderId="2" xfId="2" applyNumberFormat="1" applyFont="1" applyFill="1" applyBorder="1" applyAlignment="1">
      <alignment horizontal="center" vertical="center" wrapText="1"/>
    </xf>
    <xf numFmtId="1" fontId="20" fillId="3" borderId="7" xfId="2" applyNumberFormat="1" applyFont="1" applyFill="1" applyBorder="1" applyAlignment="1">
      <alignment vertical="center" wrapText="1"/>
    </xf>
    <xf numFmtId="49" fontId="20" fillId="3" borderId="7" xfId="2" applyNumberFormat="1" applyFont="1" applyFill="1" applyBorder="1" applyAlignment="1">
      <alignment horizontal="center" vertical="center" wrapText="1"/>
    </xf>
    <xf numFmtId="3" fontId="20" fillId="3" borderId="22" xfId="2" applyNumberFormat="1" applyFont="1" applyFill="1" applyBorder="1" applyAlignment="1">
      <alignment horizontal="right" vertical="center"/>
    </xf>
    <xf numFmtId="4" fontId="20" fillId="3" borderId="7" xfId="2" applyNumberFormat="1" applyFont="1" applyFill="1" applyBorder="1" applyAlignment="1">
      <alignment horizontal="right" vertical="center"/>
    </xf>
    <xf numFmtId="169" fontId="20" fillId="3" borderId="23" xfId="2" applyNumberFormat="1" applyFont="1" applyFill="1" applyBorder="1" applyAlignment="1">
      <alignment horizontal="right" vertical="center"/>
    </xf>
    <xf numFmtId="3" fontId="20" fillId="3" borderId="24" xfId="2" applyNumberFormat="1" applyFont="1" applyFill="1" applyBorder="1" applyAlignment="1">
      <alignment horizontal="right" vertical="center"/>
    </xf>
    <xf numFmtId="3" fontId="20" fillId="3" borderId="2" xfId="2" applyNumberFormat="1" applyFont="1" applyFill="1" applyBorder="1" applyAlignment="1">
      <alignment horizontal="right" vertical="center"/>
    </xf>
    <xf numFmtId="0" fontId="1" fillId="0" borderId="25" xfId="2" applyFont="1" applyBorder="1" applyAlignment="1">
      <alignment horizontal="left" vertical="center"/>
    </xf>
    <xf numFmtId="0" fontId="1" fillId="0" borderId="0" xfId="2" applyFont="1" applyAlignment="1">
      <alignment horizontal="left" vertical="center"/>
    </xf>
    <xf numFmtId="0" fontId="21" fillId="0" borderId="26" xfId="2" applyFont="1" applyBorder="1" applyAlignment="1">
      <alignment horizontal="left" vertical="center"/>
    </xf>
    <xf numFmtId="0" fontId="21" fillId="0" borderId="13" xfId="2" applyFont="1" applyBorder="1" applyAlignment="1">
      <alignment vertical="center"/>
    </xf>
    <xf numFmtId="49" fontId="21" fillId="0" borderId="13" xfId="2" applyNumberFormat="1" applyFont="1" applyBorder="1" applyAlignment="1">
      <alignment vertical="center" wrapText="1"/>
    </xf>
    <xf numFmtId="1" fontId="21" fillId="0" borderId="10" xfId="2" applyNumberFormat="1" applyFont="1" applyBorder="1" applyAlignment="1">
      <alignment horizontal="center" vertical="center" wrapText="1"/>
    </xf>
    <xf numFmtId="1" fontId="21" fillId="0" borderId="12" xfId="2" applyNumberFormat="1" applyFont="1" applyBorder="1" applyAlignment="1">
      <alignment vertical="center" wrapText="1"/>
    </xf>
    <xf numFmtId="49" fontId="1" fillId="0" borderId="12" xfId="2" applyNumberFormat="1" applyFont="1" applyBorder="1" applyAlignment="1">
      <alignment horizontal="center" vertical="center" wrapText="1"/>
    </xf>
    <xf numFmtId="3" fontId="1" fillId="0" borderId="27" xfId="2" applyNumberFormat="1" applyFont="1" applyBorder="1" applyAlignment="1">
      <alignment horizontal="right" vertical="center"/>
    </xf>
    <xf numFmtId="4" fontId="1" fillId="0" borderId="12" xfId="2" applyNumberFormat="1" applyFont="1" applyBorder="1" applyAlignment="1">
      <alignment horizontal="right" vertical="center"/>
    </xf>
    <xf numFmtId="169" fontId="1" fillId="0" borderId="28" xfId="2" applyNumberFormat="1" applyFont="1" applyBorder="1" applyAlignment="1">
      <alignment horizontal="right" vertical="center"/>
    </xf>
    <xf numFmtId="3" fontId="1" fillId="0" borderId="29" xfId="2" applyNumberFormat="1" applyFont="1" applyBorder="1" applyAlignment="1">
      <alignment horizontal="right" vertical="center"/>
    </xf>
    <xf numFmtId="3" fontId="1" fillId="0" borderId="11" xfId="2" applyNumberFormat="1" applyFont="1" applyBorder="1" applyAlignment="1">
      <alignment horizontal="right" vertical="center"/>
    </xf>
    <xf numFmtId="10" fontId="11" fillId="0" borderId="0" xfId="3" applyNumberFormat="1" applyFont="1" applyFill="1" applyAlignment="1">
      <alignment vertical="center"/>
    </xf>
    <xf numFmtId="3" fontId="11" fillId="0" borderId="0" xfId="2" applyNumberFormat="1" applyFont="1" applyAlignment="1">
      <alignment vertical="center"/>
    </xf>
    <xf numFmtId="0" fontId="25" fillId="0" borderId="0" xfId="2" applyFont="1" applyAlignment="1">
      <alignment vertical="center"/>
    </xf>
    <xf numFmtId="0" fontId="25" fillId="0" borderId="25" xfId="2" applyFont="1" applyBorder="1" applyAlignment="1">
      <alignment horizontal="left" vertical="center"/>
    </xf>
    <xf numFmtId="0" fontId="25" fillId="0" borderId="0" xfId="2" applyFont="1" applyAlignment="1">
      <alignment horizontal="left" vertical="center"/>
    </xf>
    <xf numFmtId="0" fontId="26" fillId="0" borderId="30" xfId="2" applyFont="1" applyBorder="1" applyAlignment="1">
      <alignment horizontal="left" vertical="center"/>
    </xf>
    <xf numFmtId="0" fontId="26" fillId="7" borderId="11" xfId="2" applyFont="1" applyFill="1" applyBorder="1" applyAlignment="1" applyProtection="1">
      <alignment vertical="center"/>
      <protection locked="0"/>
    </xf>
    <xf numFmtId="49" fontId="26" fillId="7" borderId="11" xfId="2" applyNumberFormat="1" applyFont="1" applyFill="1" applyBorder="1" applyAlignment="1" applyProtection="1">
      <alignment vertical="center" wrapText="1"/>
      <protection locked="0"/>
    </xf>
    <xf numFmtId="1" fontId="26" fillId="7" borderId="10" xfId="2" applyNumberFormat="1" applyFont="1" applyFill="1" applyBorder="1" applyAlignment="1" applyProtection="1">
      <alignment vertical="center" wrapText="1"/>
      <protection locked="0"/>
    </xf>
    <xf numFmtId="49" fontId="25" fillId="7" borderId="10" xfId="2" applyNumberFormat="1" applyFont="1" applyFill="1" applyBorder="1" applyAlignment="1" applyProtection="1">
      <alignment horizontal="center" vertical="center" wrapText="1"/>
      <protection locked="0"/>
    </xf>
    <xf numFmtId="3" fontId="25" fillId="7" borderId="31" xfId="2" applyNumberFormat="1" applyFont="1" applyFill="1" applyBorder="1" applyAlignment="1" applyProtection="1">
      <alignment horizontal="right" vertical="center"/>
      <protection locked="0"/>
    </xf>
    <xf numFmtId="4" fontId="25" fillId="7" borderId="10" xfId="2" applyNumberFormat="1" applyFont="1" applyFill="1" applyBorder="1" applyAlignment="1" applyProtection="1">
      <alignment horizontal="right" vertical="center"/>
      <protection locked="0"/>
    </xf>
    <xf numFmtId="169" fontId="25" fillId="7" borderId="32" xfId="2" applyNumberFormat="1" applyFont="1" applyFill="1" applyBorder="1" applyAlignment="1" applyProtection="1">
      <alignment horizontal="right" vertical="center"/>
      <protection locked="0"/>
    </xf>
    <xf numFmtId="3" fontId="25" fillId="7" borderId="33" xfId="2" applyNumberFormat="1" applyFont="1" applyFill="1" applyBorder="1" applyAlignment="1" applyProtection="1">
      <alignment horizontal="right" vertical="center"/>
      <protection locked="0"/>
    </xf>
    <xf numFmtId="3" fontId="25" fillId="7" borderId="11" xfId="2" applyNumberFormat="1" applyFont="1" applyFill="1" applyBorder="1" applyAlignment="1" applyProtection="1">
      <alignment horizontal="right" vertical="center"/>
      <protection locked="0"/>
    </xf>
    <xf numFmtId="0" fontId="27" fillId="0" borderId="0" xfId="2" applyFont="1" applyAlignment="1">
      <alignment vertical="center"/>
    </xf>
    <xf numFmtId="3" fontId="25" fillId="0" borderId="0" xfId="2" applyNumberFormat="1" applyFont="1" applyAlignment="1">
      <alignment horizontal="center" vertical="center"/>
    </xf>
    <xf numFmtId="0" fontId="26" fillId="7" borderId="34" xfId="2" applyFont="1" applyFill="1" applyBorder="1" applyAlignment="1" applyProtection="1">
      <alignment vertical="center"/>
      <protection locked="0"/>
    </xf>
    <xf numFmtId="1" fontId="28" fillId="7" borderId="10" xfId="2" applyNumberFormat="1" applyFont="1" applyFill="1" applyBorder="1" applyAlignment="1" applyProtection="1">
      <alignment vertical="center" wrapText="1"/>
      <protection locked="0"/>
    </xf>
    <xf numFmtId="0" fontId="21" fillId="0" borderId="30" xfId="2" applyFont="1" applyBorder="1" applyAlignment="1">
      <alignment horizontal="left" vertical="center"/>
    </xf>
    <xf numFmtId="0" fontId="21" fillId="0" borderId="11" xfId="2" applyFont="1" applyBorder="1" applyAlignment="1">
      <alignment vertical="center"/>
    </xf>
    <xf numFmtId="49" fontId="21" fillId="0" borderId="11" xfId="2" applyNumberFormat="1" applyFont="1" applyBorder="1" applyAlignment="1">
      <alignment vertical="center" wrapText="1"/>
    </xf>
    <xf numFmtId="1" fontId="21" fillId="0" borderId="10" xfId="2" applyNumberFormat="1" applyFont="1" applyBorder="1" applyAlignment="1">
      <alignment vertical="center" wrapText="1"/>
    </xf>
    <xf numFmtId="49" fontId="1" fillId="0" borderId="10" xfId="2" applyNumberFormat="1" applyFont="1" applyBorder="1" applyAlignment="1">
      <alignment horizontal="center" vertical="center" wrapText="1"/>
    </xf>
    <xf numFmtId="3" fontId="1" fillId="0" borderId="31" xfId="2" applyNumberFormat="1" applyFont="1" applyBorder="1" applyAlignment="1">
      <alignment horizontal="right" vertical="center"/>
    </xf>
    <xf numFmtId="4" fontId="1" fillId="0" borderId="10" xfId="2" applyNumberFormat="1" applyFont="1" applyBorder="1" applyAlignment="1">
      <alignment horizontal="right" vertical="center"/>
    </xf>
    <xf numFmtId="169" fontId="1" fillId="0" borderId="32" xfId="2" applyNumberFormat="1" applyFont="1" applyBorder="1" applyAlignment="1">
      <alignment horizontal="right" vertical="center"/>
    </xf>
    <xf numFmtId="3" fontId="1" fillId="0" borderId="33" xfId="2" applyNumberFormat="1" applyFont="1" applyBorder="1" applyAlignment="1">
      <alignment horizontal="right" vertical="center"/>
    </xf>
    <xf numFmtId="49" fontId="21" fillId="0" borderId="10" xfId="2" applyNumberFormat="1" applyFont="1" applyBorder="1" applyAlignment="1">
      <alignment horizontal="center" vertical="center" wrapText="1"/>
    </xf>
    <xf numFmtId="3" fontId="21" fillId="0" borderId="31" xfId="2" applyNumberFormat="1" applyFont="1" applyBorder="1" applyAlignment="1">
      <alignment horizontal="right" vertical="center"/>
    </xf>
    <xf numFmtId="4" fontId="21" fillId="0" borderId="10" xfId="2" applyNumberFormat="1" applyFont="1" applyBorder="1" applyAlignment="1">
      <alignment horizontal="right" vertical="center"/>
    </xf>
    <xf numFmtId="169" fontId="21" fillId="0" borderId="32" xfId="2" applyNumberFormat="1" applyFont="1" applyBorder="1" applyAlignment="1">
      <alignment horizontal="right" vertical="center"/>
    </xf>
    <xf numFmtId="49" fontId="21" fillId="0" borderId="11" xfId="2" applyNumberFormat="1" applyFont="1" applyBorder="1" applyAlignment="1">
      <alignment vertical="center"/>
    </xf>
    <xf numFmtId="49" fontId="21" fillId="0" borderId="34" xfId="2" applyNumberFormat="1" applyFont="1" applyBorder="1" applyAlignment="1">
      <alignment vertical="center"/>
    </xf>
    <xf numFmtId="49" fontId="21" fillId="0" borderId="33" xfId="2" applyNumberFormat="1" applyFont="1" applyBorder="1" applyAlignment="1">
      <alignment horizontal="center" vertical="center" wrapText="1"/>
    </xf>
    <xf numFmtId="0" fontId="23" fillId="0" borderId="0" xfId="2" applyFont="1" applyAlignment="1">
      <alignment vertical="center"/>
    </xf>
    <xf numFmtId="1" fontId="26" fillId="7" borderId="10" xfId="2" applyNumberFormat="1" applyFont="1" applyFill="1" applyBorder="1" applyAlignment="1" applyProtection="1">
      <alignment horizontal="center" vertical="center" wrapText="1"/>
      <protection locked="0"/>
    </xf>
    <xf numFmtId="49" fontId="26" fillId="7" borderId="33" xfId="2" applyNumberFormat="1" applyFont="1" applyFill="1" applyBorder="1" applyAlignment="1" applyProtection="1">
      <alignment horizontal="center" vertical="center" wrapText="1"/>
      <protection locked="0"/>
    </xf>
    <xf numFmtId="0" fontId="21" fillId="0" borderId="36" xfId="2" applyFont="1" applyBorder="1" applyAlignment="1">
      <alignment horizontal="left" vertical="center"/>
    </xf>
    <xf numFmtId="1" fontId="21" fillId="0" borderId="37" xfId="2" applyNumberFormat="1" applyFont="1" applyBorder="1" applyAlignment="1">
      <alignment vertical="center" wrapText="1"/>
    </xf>
    <xf numFmtId="49" fontId="1" fillId="0" borderId="37" xfId="2" applyNumberFormat="1" applyFont="1" applyBorder="1" applyAlignment="1">
      <alignment horizontal="center" vertical="center" wrapText="1"/>
    </xf>
    <xf numFmtId="3" fontId="1" fillId="0" borderId="38" xfId="2" applyNumberFormat="1" applyFont="1" applyBorder="1" applyAlignment="1">
      <alignment horizontal="right" vertical="center"/>
    </xf>
    <xf numFmtId="4" fontId="1" fillId="0" borderId="37" xfId="2" applyNumberFormat="1" applyFont="1" applyBorder="1" applyAlignment="1">
      <alignment horizontal="right" vertical="center"/>
    </xf>
    <xf numFmtId="169" fontId="1" fillId="0" borderId="39" xfId="2" applyNumberFormat="1" applyFont="1" applyBorder="1" applyAlignment="1">
      <alignment horizontal="right" vertical="center"/>
    </xf>
    <xf numFmtId="0" fontId="26" fillId="0" borderId="40" xfId="2" applyFont="1" applyBorder="1" applyAlignment="1">
      <alignment horizontal="left" vertical="center"/>
    </xf>
    <xf numFmtId="1" fontId="26" fillId="7" borderId="18" xfId="2" applyNumberFormat="1" applyFont="1" applyFill="1" applyBorder="1" applyAlignment="1" applyProtection="1">
      <alignment vertical="center" wrapText="1"/>
      <protection locked="0"/>
    </xf>
    <xf numFmtId="49" fontId="25" fillId="7" borderId="18" xfId="2" applyNumberFormat="1" applyFont="1" applyFill="1" applyBorder="1" applyAlignment="1" applyProtection="1">
      <alignment horizontal="center" vertical="center" wrapText="1"/>
      <protection locked="0"/>
    </xf>
    <xf numFmtId="3" fontId="25" fillId="7" borderId="41" xfId="2" applyNumberFormat="1" applyFont="1" applyFill="1" applyBorder="1" applyAlignment="1" applyProtection="1">
      <alignment horizontal="right" vertical="center"/>
      <protection locked="0"/>
    </xf>
    <xf numFmtId="4" fontId="25" fillId="7" borderId="18" xfId="2" applyNumberFormat="1" applyFont="1" applyFill="1" applyBorder="1" applyAlignment="1" applyProtection="1">
      <alignment horizontal="right" vertical="center"/>
      <protection locked="0"/>
    </xf>
    <xf numFmtId="169" fontId="25" fillId="7" borderId="42" xfId="2" applyNumberFormat="1" applyFont="1" applyFill="1" applyBorder="1" applyAlignment="1" applyProtection="1">
      <alignment horizontal="right" vertical="center"/>
      <protection locked="0"/>
    </xf>
    <xf numFmtId="3" fontId="25" fillId="7" borderId="19" xfId="2" applyNumberFormat="1" applyFont="1" applyFill="1" applyBorder="1" applyAlignment="1" applyProtection="1">
      <alignment horizontal="right" vertical="center"/>
      <protection locked="0"/>
    </xf>
    <xf numFmtId="0" fontId="21" fillId="0" borderId="13" xfId="2" applyFont="1" applyBorder="1" applyAlignment="1">
      <alignment horizontal="left" vertical="center"/>
    </xf>
    <xf numFmtId="49" fontId="21" fillId="0" borderId="13" xfId="2" applyNumberFormat="1" applyFont="1" applyBorder="1" applyAlignment="1">
      <alignment horizontal="left" vertical="center" wrapText="1"/>
    </xf>
    <xf numFmtId="1" fontId="21" fillId="0" borderId="12" xfId="2" applyNumberFormat="1" applyFont="1" applyBorder="1" applyAlignment="1">
      <alignment horizontal="center" vertical="center" wrapText="1"/>
    </xf>
    <xf numFmtId="49" fontId="21" fillId="0" borderId="12" xfId="2" applyNumberFormat="1" applyFont="1" applyBorder="1" applyAlignment="1">
      <alignment horizontal="center" vertical="center" wrapText="1"/>
    </xf>
    <xf numFmtId="3" fontId="21" fillId="0" borderId="27" xfId="2" applyNumberFormat="1" applyFont="1" applyBorder="1" applyAlignment="1">
      <alignment horizontal="right" vertical="center"/>
    </xf>
    <xf numFmtId="4" fontId="21" fillId="0" borderId="12" xfId="2" applyNumberFormat="1" applyFont="1" applyBorder="1" applyAlignment="1">
      <alignment horizontal="right" vertical="center"/>
    </xf>
    <xf numFmtId="169" fontId="21" fillId="0" borderId="28" xfId="2" applyNumberFormat="1" applyFont="1" applyBorder="1" applyAlignment="1">
      <alignment horizontal="right" vertical="center"/>
    </xf>
    <xf numFmtId="0" fontId="26" fillId="7" borderId="11" xfId="2" applyFont="1" applyFill="1" applyBorder="1" applyAlignment="1" applyProtection="1">
      <alignment horizontal="left" vertical="center"/>
      <protection locked="0"/>
    </xf>
    <xf numFmtId="49" fontId="26" fillId="7" borderId="11" xfId="2" applyNumberFormat="1" applyFont="1" applyFill="1" applyBorder="1" applyAlignment="1" applyProtection="1">
      <alignment horizontal="left" vertical="center" wrapText="1"/>
      <protection locked="0"/>
    </xf>
    <xf numFmtId="0" fontId="26" fillId="7" borderId="43" xfId="2" applyFont="1" applyFill="1" applyBorder="1" applyAlignment="1" applyProtection="1">
      <alignment horizontal="left" vertical="center"/>
      <protection locked="0"/>
    </xf>
    <xf numFmtId="49" fontId="21" fillId="0" borderId="11" xfId="2" applyNumberFormat="1" applyFont="1" applyBorder="1" applyAlignment="1">
      <alignment horizontal="center" vertical="center"/>
    </xf>
    <xf numFmtId="49" fontId="21" fillId="0" borderId="34" xfId="2" applyNumberFormat="1" applyFont="1" applyBorder="1" applyAlignment="1">
      <alignment horizontal="center" vertical="center"/>
    </xf>
    <xf numFmtId="49" fontId="21" fillId="0" borderId="44" xfId="2" applyNumberFormat="1" applyFont="1" applyBorder="1" applyAlignment="1">
      <alignment horizontal="center" vertical="center" wrapText="1"/>
    </xf>
    <xf numFmtId="3" fontId="25" fillId="7" borderId="45" xfId="2" applyNumberFormat="1" applyFont="1" applyFill="1" applyBorder="1" applyAlignment="1" applyProtection="1">
      <alignment horizontal="right" vertical="center"/>
      <protection locked="0"/>
    </xf>
    <xf numFmtId="0" fontId="21" fillId="0" borderId="25" xfId="2" applyFont="1" applyBorder="1" applyAlignment="1">
      <alignment horizontal="left" vertical="center"/>
    </xf>
    <xf numFmtId="0" fontId="21" fillId="0" borderId="0" xfId="2" applyFont="1" applyAlignment="1">
      <alignment horizontal="left" vertical="center"/>
    </xf>
    <xf numFmtId="49" fontId="21" fillId="0" borderId="29" xfId="2" applyNumberFormat="1" applyFont="1" applyBorder="1" applyAlignment="1">
      <alignment horizontal="center" vertical="center" wrapText="1"/>
    </xf>
    <xf numFmtId="0" fontId="20" fillId="4" borderId="7" xfId="2" applyFont="1" applyFill="1" applyBorder="1" applyAlignment="1">
      <alignment horizontal="left" vertical="center"/>
    </xf>
    <xf numFmtId="0" fontId="20" fillId="4" borderId="8" xfId="2" applyFont="1" applyFill="1" applyBorder="1" applyAlignment="1">
      <alignment horizontal="left" vertical="center"/>
    </xf>
    <xf numFmtId="49" fontId="20" fillId="4" borderId="8" xfId="2" applyNumberFormat="1" applyFont="1" applyFill="1" applyBorder="1" applyAlignment="1">
      <alignment horizontal="left" vertical="center" wrapText="1"/>
    </xf>
    <xf numFmtId="49" fontId="20" fillId="4" borderId="2" xfId="2" applyNumberFormat="1" applyFont="1" applyFill="1" applyBorder="1" applyAlignment="1">
      <alignment horizontal="center" vertical="center" wrapText="1"/>
    </xf>
    <xf numFmtId="1" fontId="20" fillId="4" borderId="7" xfId="2" applyNumberFormat="1" applyFont="1" applyFill="1" applyBorder="1" applyAlignment="1">
      <alignment vertical="center" wrapText="1"/>
    </xf>
    <xf numFmtId="49" fontId="20" fillId="4" borderId="7" xfId="2" applyNumberFormat="1" applyFont="1" applyFill="1" applyBorder="1" applyAlignment="1">
      <alignment horizontal="center" vertical="center" wrapText="1"/>
    </xf>
    <xf numFmtId="3" fontId="20" fillId="4" borderId="22" xfId="2" applyNumberFormat="1" applyFont="1" applyFill="1" applyBorder="1" applyAlignment="1">
      <alignment horizontal="right" vertical="center"/>
    </xf>
    <xf numFmtId="4" fontId="20" fillId="4" borderId="7" xfId="2" applyNumberFormat="1" applyFont="1" applyFill="1" applyBorder="1" applyAlignment="1">
      <alignment horizontal="right" vertical="center"/>
    </xf>
    <xf numFmtId="169" fontId="20" fillId="4" borderId="23" xfId="2" applyNumberFormat="1" applyFont="1" applyFill="1" applyBorder="1" applyAlignment="1">
      <alignment horizontal="right" vertical="center"/>
    </xf>
    <xf numFmtId="3" fontId="20" fillId="4" borderId="2" xfId="2" applyNumberFormat="1" applyFont="1" applyFill="1" applyBorder="1" applyAlignment="1">
      <alignment horizontal="right" vertical="center"/>
    </xf>
    <xf numFmtId="165" fontId="12" fillId="0" borderId="2" xfId="3" applyNumberFormat="1" applyFont="1" applyBorder="1" applyAlignment="1">
      <alignment vertical="center"/>
    </xf>
    <xf numFmtId="49" fontId="20" fillId="3" borderId="8" xfId="2" quotePrefix="1" applyNumberFormat="1" applyFont="1" applyFill="1" applyBorder="1" applyAlignment="1">
      <alignment horizontal="left" vertical="center"/>
    </xf>
    <xf numFmtId="0" fontId="1" fillId="0" borderId="15" xfId="2" applyFont="1" applyBorder="1" applyAlignment="1">
      <alignment horizontal="left" vertical="center"/>
    </xf>
    <xf numFmtId="0" fontId="1" fillId="0" borderId="46" xfId="2" applyFont="1" applyBorder="1" applyAlignment="1">
      <alignment horizontal="left" vertical="center"/>
    </xf>
    <xf numFmtId="49" fontId="21" fillId="0" borderId="26" xfId="2" quotePrefix="1" applyNumberFormat="1" applyFont="1" applyBorder="1" applyAlignment="1">
      <alignment horizontal="left" vertical="center"/>
    </xf>
    <xf numFmtId="0" fontId="25" fillId="0" borderId="47" xfId="2" applyFont="1" applyBorder="1" applyAlignment="1">
      <alignment horizontal="left" vertical="center"/>
    </xf>
    <xf numFmtId="0" fontId="1" fillId="0" borderId="47" xfId="2" applyFont="1" applyBorder="1" applyAlignment="1">
      <alignment horizontal="left" vertical="center"/>
    </xf>
    <xf numFmtId="49" fontId="21" fillId="0" borderId="30" xfId="2" quotePrefix="1" applyNumberFormat="1" applyFont="1" applyBorder="1" applyAlignment="1">
      <alignment horizontal="left" vertical="center"/>
    </xf>
    <xf numFmtId="49" fontId="21" fillId="0" borderId="30" xfId="2" applyNumberFormat="1" applyFont="1" applyBorder="1" applyAlignment="1">
      <alignment horizontal="left" vertical="center"/>
    </xf>
    <xf numFmtId="0" fontId="11" fillId="0" borderId="25" xfId="2" applyFont="1" applyBorder="1" applyAlignment="1">
      <alignment horizontal="left" vertical="center"/>
    </xf>
    <xf numFmtId="0" fontId="11" fillId="0" borderId="47" xfId="2" applyFont="1" applyBorder="1" applyAlignment="1">
      <alignment horizontal="left" vertical="center"/>
    </xf>
    <xf numFmtId="0" fontId="26" fillId="0" borderId="36" xfId="2" applyFont="1" applyBorder="1" applyAlignment="1">
      <alignment horizontal="left" vertical="center"/>
    </xf>
    <xf numFmtId="1" fontId="26" fillId="7" borderId="37" xfId="2" applyNumberFormat="1" applyFont="1" applyFill="1" applyBorder="1" applyAlignment="1" applyProtection="1">
      <alignment vertical="center" wrapText="1"/>
      <protection locked="0"/>
    </xf>
    <xf numFmtId="49" fontId="25" fillId="7" borderId="37" xfId="2" applyNumberFormat="1" applyFont="1" applyFill="1" applyBorder="1" applyAlignment="1" applyProtection="1">
      <alignment horizontal="center" vertical="center" wrapText="1"/>
      <protection locked="0"/>
    </xf>
    <xf numFmtId="3" fontId="25" fillId="7" borderId="38" xfId="2" applyNumberFormat="1" applyFont="1" applyFill="1" applyBorder="1" applyAlignment="1" applyProtection="1">
      <alignment horizontal="right" vertical="center"/>
      <protection locked="0"/>
    </xf>
    <xf numFmtId="4" fontId="25" fillId="7" borderId="37" xfId="2" applyNumberFormat="1" applyFont="1" applyFill="1" applyBorder="1" applyAlignment="1" applyProtection="1">
      <alignment horizontal="right" vertical="center"/>
      <protection locked="0"/>
    </xf>
    <xf numFmtId="169" fontId="25" fillId="7" borderId="39" xfId="2" applyNumberFormat="1" applyFont="1" applyFill="1" applyBorder="1" applyAlignment="1" applyProtection="1">
      <alignment horizontal="right" vertical="center"/>
      <protection locked="0"/>
    </xf>
    <xf numFmtId="3" fontId="25" fillId="7" borderId="48" xfId="2" applyNumberFormat="1" applyFont="1" applyFill="1" applyBorder="1" applyAlignment="1" applyProtection="1">
      <alignment horizontal="right" vertical="center"/>
      <protection locked="0"/>
    </xf>
    <xf numFmtId="3" fontId="25" fillId="7" borderId="44" xfId="2" applyNumberFormat="1" applyFont="1" applyFill="1" applyBorder="1" applyAlignment="1" applyProtection="1">
      <alignment horizontal="right" vertical="center"/>
      <protection locked="0"/>
    </xf>
    <xf numFmtId="0" fontId="1" fillId="0" borderId="20" xfId="2" applyFont="1" applyBorder="1" applyAlignment="1">
      <alignment horizontal="left" vertical="center"/>
    </xf>
    <xf numFmtId="0" fontId="1" fillId="0" borderId="49" xfId="2" applyFont="1" applyBorder="1" applyAlignment="1">
      <alignment horizontal="left" vertical="center"/>
    </xf>
    <xf numFmtId="0" fontId="21" fillId="0" borderId="40" xfId="2" applyFont="1" applyBorder="1" applyAlignment="1">
      <alignment horizontal="left" vertical="center"/>
    </xf>
    <xf numFmtId="49" fontId="21" fillId="0" borderId="45" xfId="2" applyNumberFormat="1" applyFont="1" applyBorder="1" applyAlignment="1">
      <alignment horizontal="center" vertical="center" wrapText="1"/>
    </xf>
    <xf numFmtId="1" fontId="21" fillId="0" borderId="18" xfId="2" applyNumberFormat="1" applyFont="1" applyBorder="1" applyAlignment="1">
      <alignment vertical="center" wrapText="1"/>
    </xf>
    <xf numFmtId="49" fontId="1" fillId="0" borderId="18" xfId="2" applyNumberFormat="1" applyFont="1" applyBorder="1" applyAlignment="1">
      <alignment horizontal="center" vertical="center" wrapText="1"/>
    </xf>
    <xf numFmtId="3" fontId="1" fillId="0" borderId="41" xfId="2" applyNumberFormat="1" applyFont="1" applyBorder="1" applyAlignment="1">
      <alignment horizontal="right" vertical="center"/>
    </xf>
    <xf numFmtId="4" fontId="1" fillId="0" borderId="18" xfId="2" applyNumberFormat="1" applyFont="1" applyBorder="1" applyAlignment="1">
      <alignment horizontal="right" vertical="center"/>
    </xf>
    <xf numFmtId="169" fontId="1" fillId="0" borderId="42" xfId="2" applyNumberFormat="1" applyFont="1" applyBorder="1" applyAlignment="1">
      <alignment horizontal="right" vertical="center"/>
    </xf>
    <xf numFmtId="3" fontId="1" fillId="0" borderId="45" xfId="2" applyNumberFormat="1" applyFont="1" applyBorder="1" applyAlignment="1">
      <alignment horizontal="right" vertical="center"/>
    </xf>
    <xf numFmtId="3" fontId="1" fillId="0" borderId="19" xfId="2" applyNumberFormat="1" applyFont="1" applyBorder="1" applyAlignment="1">
      <alignment horizontal="right" vertical="center"/>
    </xf>
    <xf numFmtId="3" fontId="20" fillId="7" borderId="2" xfId="2" applyNumberFormat="1" applyFont="1" applyFill="1" applyBorder="1" applyAlignment="1" applyProtection="1">
      <alignment horizontal="right" vertical="center"/>
      <protection locked="0"/>
    </xf>
    <xf numFmtId="169" fontId="11" fillId="0" borderId="0" xfId="2" applyNumberFormat="1" applyFont="1" applyAlignment="1">
      <alignment vertical="center"/>
    </xf>
    <xf numFmtId="0" fontId="0" fillId="6" borderId="5" xfId="0" applyFill="1" applyBorder="1" applyAlignment="1">
      <alignment horizontal="center" vertical="center"/>
    </xf>
    <xf numFmtId="0" fontId="0" fillId="6" borderId="5" xfId="0" applyFill="1" applyBorder="1" applyAlignment="1">
      <alignment horizontal="left" indent="1"/>
    </xf>
    <xf numFmtId="0" fontId="0" fillId="6" borderId="5" xfId="0" applyFill="1" applyBorder="1" applyAlignment="1">
      <alignment horizontal="left" vertical="center" indent="1"/>
    </xf>
    <xf numFmtId="0" fontId="0" fillId="0" borderId="0" xfId="0" applyAlignment="1">
      <alignment vertical="center"/>
    </xf>
    <xf numFmtId="0" fontId="8" fillId="0" borderId="0" xfId="0" applyFont="1" applyAlignment="1">
      <alignment horizontal="left" vertical="center" indent="1"/>
    </xf>
    <xf numFmtId="0" fontId="8" fillId="0" borderId="51" xfId="0" applyFont="1" applyBorder="1" applyAlignment="1">
      <alignment horizontal="left" vertical="center" indent="1"/>
    </xf>
    <xf numFmtId="0" fontId="31" fillId="0" borderId="0" xfId="0" applyFont="1" applyAlignment="1">
      <alignment horizontal="left" vertical="center" indent="1"/>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55" xfId="0" applyBorder="1"/>
    <xf numFmtId="0" fontId="0" fillId="0" borderId="56" xfId="0" applyBorder="1"/>
    <xf numFmtId="9" fontId="0" fillId="0" borderId="0" xfId="0" applyNumberFormat="1" applyAlignment="1">
      <alignment horizontal="center"/>
    </xf>
    <xf numFmtId="3" fontId="0" fillId="0" borderId="2" xfId="0" applyNumberFormat="1" applyBorder="1" applyAlignment="1">
      <alignment horizontal="right" indent="1"/>
    </xf>
    <xf numFmtId="0" fontId="0" fillId="0" borderId="8" xfId="0" applyBorder="1" applyAlignment="1">
      <alignment horizontal="center"/>
    </xf>
    <xf numFmtId="0" fontId="0" fillId="0" borderId="8" xfId="0" applyBorder="1" applyAlignment="1">
      <alignment horizontal="left" indent="1"/>
    </xf>
    <xf numFmtId="0" fontId="0" fillId="0" borderId="8" xfId="0" applyBorder="1" applyAlignment="1">
      <alignment horizontal="center" vertical="center"/>
    </xf>
    <xf numFmtId="0" fontId="3" fillId="0" borderId="0" xfId="0" applyFont="1" applyAlignment="1">
      <alignment horizontal="center"/>
    </xf>
    <xf numFmtId="170" fontId="0" fillId="0" borderId="8" xfId="4" applyNumberFormat="1" applyFont="1" applyBorder="1" applyAlignment="1">
      <alignment horizontal="center"/>
    </xf>
    <xf numFmtId="170" fontId="0" fillId="0" borderId="8" xfId="4" applyNumberFormat="1" applyFont="1" applyBorder="1" applyAlignment="1">
      <alignment horizontal="right"/>
    </xf>
    <xf numFmtId="2" fontId="0" fillId="0" borderId="2" xfId="0" applyNumberFormat="1" applyBorder="1" applyAlignment="1">
      <alignment horizontal="right" indent="1"/>
    </xf>
    <xf numFmtId="0" fontId="0" fillId="0" borderId="64" xfId="0" applyBorder="1" applyAlignment="1">
      <alignment horizontal="right" indent="1"/>
    </xf>
    <xf numFmtId="2" fontId="0" fillId="0" borderId="65" xfId="0" applyNumberFormat="1" applyBorder="1" applyAlignment="1">
      <alignment horizontal="right" indent="1"/>
    </xf>
    <xf numFmtId="2" fontId="0" fillId="0" borderId="4" xfId="0" applyNumberFormat="1" applyBorder="1" applyAlignment="1">
      <alignment horizontal="right" indent="1"/>
    </xf>
    <xf numFmtId="0" fontId="0" fillId="0" borderId="1" xfId="0" applyBorder="1" applyAlignment="1">
      <alignment horizontal="right" indent="1"/>
    </xf>
    <xf numFmtId="2" fontId="0" fillId="0" borderId="66" xfId="0" applyNumberFormat="1" applyBorder="1" applyAlignment="1">
      <alignment horizontal="right" indent="1"/>
    </xf>
    <xf numFmtId="10" fontId="0" fillId="0" borderId="0" xfId="1" applyNumberFormat="1" applyFont="1" applyFill="1" applyBorder="1" applyAlignment="1">
      <alignment horizontal="right" indent="1"/>
    </xf>
    <xf numFmtId="0" fontId="0" fillId="0" borderId="0" xfId="0" applyAlignment="1">
      <alignment horizontal="left"/>
    </xf>
    <xf numFmtId="0" fontId="0" fillId="0" borderId="0" xfId="0" applyAlignment="1">
      <alignment horizontal="right" vertical="center"/>
    </xf>
    <xf numFmtId="0" fontId="0" fillId="13" borderId="0" xfId="0" applyFill="1" applyAlignment="1">
      <alignment vertical="center"/>
    </xf>
    <xf numFmtId="0" fontId="30" fillId="14" borderId="0" xfId="0" applyFont="1" applyFill="1" applyAlignment="1">
      <alignment horizontal="center" vertical="center" wrapText="1"/>
    </xf>
    <xf numFmtId="0" fontId="0" fillId="13" borderId="0" xfId="0" applyFill="1" applyAlignment="1">
      <alignment horizontal="center" vertical="center" wrapText="1"/>
    </xf>
    <xf numFmtId="0" fontId="8" fillId="15" borderId="2" xfId="0" applyFont="1" applyFill="1" applyBorder="1"/>
    <xf numFmtId="2" fontId="0" fillId="16" borderId="2" xfId="0" applyNumberFormat="1" applyFill="1" applyBorder="1" applyAlignment="1">
      <alignment horizontal="center"/>
    </xf>
    <xf numFmtId="2" fontId="0" fillId="0" borderId="0" xfId="0" applyNumberFormat="1"/>
    <xf numFmtId="0" fontId="0" fillId="0" borderId="0" xfId="0" applyAlignment="1">
      <alignment vertical="top" wrapText="1"/>
    </xf>
    <xf numFmtId="0" fontId="0" fillId="0" borderId="0" xfId="0" applyAlignment="1">
      <alignment horizontal="left" indent="2"/>
    </xf>
    <xf numFmtId="0" fontId="0" fillId="0" borderId="0" xfId="0" applyAlignment="1">
      <alignment horizontal="right" indent="2"/>
    </xf>
    <xf numFmtId="0" fontId="0" fillId="0" borderId="0" xfId="0" applyAlignment="1">
      <alignment vertical="center" wrapText="1"/>
    </xf>
    <xf numFmtId="0" fontId="0" fillId="0" borderId="51" xfId="0" applyBorder="1"/>
    <xf numFmtId="0" fontId="0" fillId="0" borderId="0" xfId="0" applyAlignment="1">
      <alignment horizontal="right" vertical="center" wrapText="1" indent="1"/>
    </xf>
    <xf numFmtId="171" fontId="0" fillId="0" borderId="0" xfId="0" applyNumberFormat="1" applyAlignment="1">
      <alignment horizontal="right" indent="1"/>
    </xf>
    <xf numFmtId="171" fontId="0" fillId="0" borderId="2" xfId="0" applyNumberFormat="1" applyBorder="1" applyAlignment="1">
      <alignment horizontal="right" vertical="center" indent="1"/>
    </xf>
    <xf numFmtId="0" fontId="0" fillId="0" borderId="51" xfId="0" applyBorder="1" applyAlignment="1">
      <alignment horizontal="right" indent="1"/>
    </xf>
    <xf numFmtId="171" fontId="0" fillId="0" borderId="62" xfId="0" applyNumberFormat="1" applyBorder="1" applyAlignment="1">
      <alignment horizontal="right" vertical="center" indent="1"/>
    </xf>
    <xf numFmtId="171" fontId="0" fillId="0" borderId="4" xfId="0" applyNumberFormat="1" applyBorder="1" applyAlignment="1">
      <alignment horizontal="right" vertical="center" indent="1"/>
    </xf>
    <xf numFmtId="0" fontId="0" fillId="0" borderId="51" xfId="0" applyBorder="1" applyAlignment="1">
      <alignment horizontal="left" indent="1"/>
    </xf>
    <xf numFmtId="0" fontId="8" fillId="0" borderId="51" xfId="0" applyFont="1" applyBorder="1" applyAlignment="1">
      <alignment horizontal="left" vertical="top" indent="1"/>
    </xf>
    <xf numFmtId="0" fontId="9" fillId="0" borderId="0" xfId="0" applyFont="1" applyAlignment="1">
      <alignment horizontal="right" indent="1"/>
    </xf>
    <xf numFmtId="0" fontId="0" fillId="6" borderId="2" xfId="0" applyFill="1" applyBorder="1" applyAlignment="1">
      <alignment horizontal="right" indent="1"/>
    </xf>
    <xf numFmtId="10" fontId="0" fillId="6" borderId="2" xfId="1" applyNumberFormat="1" applyFont="1" applyFill="1" applyBorder="1" applyAlignment="1">
      <alignment horizontal="right" indent="1"/>
    </xf>
    <xf numFmtId="2" fontId="0" fillId="6" borderId="2" xfId="0" applyNumberFormat="1" applyFill="1" applyBorder="1" applyAlignment="1">
      <alignment horizontal="right" indent="1"/>
    </xf>
    <xf numFmtId="2" fontId="0" fillId="6" borderId="65" xfId="0" applyNumberFormat="1" applyFill="1" applyBorder="1" applyAlignment="1">
      <alignment horizontal="right" indent="1"/>
    </xf>
    <xf numFmtId="2" fontId="0" fillId="6" borderId="4" xfId="0" applyNumberFormat="1" applyFill="1" applyBorder="1" applyAlignment="1">
      <alignment horizontal="right" indent="1"/>
    </xf>
    <xf numFmtId="2" fontId="0" fillId="6" borderId="66" xfId="0" applyNumberFormat="1" applyFill="1" applyBorder="1" applyAlignment="1">
      <alignment horizontal="right" indent="1"/>
    </xf>
    <xf numFmtId="3" fontId="0" fillId="6" borderId="2" xfId="0" applyNumberFormat="1" applyFill="1" applyBorder="1" applyAlignment="1">
      <alignment horizontal="right" indent="1"/>
    </xf>
    <xf numFmtId="3" fontId="8" fillId="6" borderId="2" xfId="0" applyNumberFormat="1" applyFont="1" applyFill="1" applyBorder="1" applyAlignment="1">
      <alignment horizontal="right" indent="1"/>
    </xf>
    <xf numFmtId="0" fontId="8" fillId="0" borderId="0" xfId="0" applyFont="1" applyAlignment="1">
      <alignment horizontal="center" wrapText="1"/>
    </xf>
    <xf numFmtId="170" fontId="0" fillId="6" borderId="7" xfId="4" applyNumberFormat="1" applyFont="1" applyFill="1" applyBorder="1" applyAlignment="1">
      <alignment horizontal="center"/>
    </xf>
    <xf numFmtId="170" fontId="0" fillId="6" borderId="7" xfId="4" applyNumberFormat="1" applyFont="1" applyFill="1" applyBorder="1" applyAlignment="1">
      <alignment horizontal="right"/>
    </xf>
    <xf numFmtId="9" fontId="0" fillId="6" borderId="2" xfId="0" applyNumberFormat="1" applyFill="1" applyBorder="1" applyAlignment="1">
      <alignment horizontal="center"/>
    </xf>
    <xf numFmtId="9" fontId="8" fillId="0" borderId="2" xfId="0" applyNumberFormat="1" applyFont="1" applyBorder="1" applyAlignment="1">
      <alignment horizontal="center" vertical="center"/>
    </xf>
    <xf numFmtId="9" fontId="8" fillId="0" borderId="2" xfId="0" applyNumberFormat="1" applyFont="1" applyBorder="1" applyAlignment="1">
      <alignment horizontal="center"/>
    </xf>
    <xf numFmtId="9" fontId="8" fillId="6" borderId="2" xfId="0" applyNumberFormat="1" applyFont="1" applyFill="1" applyBorder="1" applyAlignment="1">
      <alignment horizontal="right" vertical="center" indent="1"/>
    </xf>
    <xf numFmtId="9" fontId="8" fillId="6" borderId="2" xfId="0" applyNumberFormat="1" applyFont="1" applyFill="1" applyBorder="1" applyAlignment="1">
      <alignment horizontal="right" indent="1"/>
    </xf>
    <xf numFmtId="3" fontId="0" fillId="0" borderId="9" xfId="0" applyNumberFormat="1" applyBorder="1" applyAlignment="1">
      <alignment horizontal="right" indent="1"/>
    </xf>
    <xf numFmtId="3" fontId="0" fillId="0" borderId="7" xfId="0" applyNumberFormat="1" applyBorder="1" applyAlignment="1">
      <alignment horizontal="right" indent="1"/>
    </xf>
    <xf numFmtId="3" fontId="0" fillId="0" borderId="59" xfId="0" applyNumberFormat="1" applyBorder="1" applyAlignment="1">
      <alignment horizontal="right" indent="1"/>
    </xf>
    <xf numFmtId="3" fontId="0" fillId="0" borderId="60" xfId="0" applyNumberFormat="1" applyBorder="1" applyAlignment="1">
      <alignment horizontal="right" indent="1"/>
    </xf>
    <xf numFmtId="3" fontId="0" fillId="0" borderId="61" xfId="0" applyNumberFormat="1" applyBorder="1" applyAlignment="1">
      <alignment horizontal="right" indent="1"/>
    </xf>
    <xf numFmtId="3" fontId="0" fillId="0" borderId="62" xfId="0" applyNumberFormat="1" applyBorder="1" applyAlignment="1">
      <alignment horizontal="right" indent="1"/>
    </xf>
    <xf numFmtId="3" fontId="0" fillId="0" borderId="63" xfId="0" applyNumberFormat="1" applyBorder="1" applyAlignment="1">
      <alignment horizontal="right" indent="1"/>
    </xf>
    <xf numFmtId="9" fontId="8" fillId="0" borderId="2" xfId="0" applyNumberFormat="1" applyFont="1" applyBorder="1" applyAlignment="1">
      <alignment horizontal="right" vertical="center" indent="1"/>
    </xf>
    <xf numFmtId="9" fontId="8" fillId="0" borderId="2" xfId="0" applyNumberFormat="1" applyFont="1" applyBorder="1" applyAlignment="1">
      <alignment horizontal="right" indent="1"/>
    </xf>
    <xf numFmtId="0" fontId="4" fillId="0" borderId="0" xfId="0" applyFont="1" applyAlignment="1">
      <alignment horizontal="right" vertical="center" wrapText="1" indent="1"/>
    </xf>
    <xf numFmtId="0" fontId="4" fillId="0" borderId="0" xfId="0" applyFont="1" applyAlignment="1">
      <alignment horizontal="right" vertical="center" indent="1"/>
    </xf>
    <xf numFmtId="3" fontId="33" fillId="0" borderId="0" xfId="0" applyNumberFormat="1" applyFont="1" applyAlignment="1">
      <alignment horizontal="right" indent="1"/>
    </xf>
    <xf numFmtId="0" fontId="33" fillId="0" borderId="0" xfId="0" applyFont="1" applyAlignment="1">
      <alignment horizontal="left" indent="1"/>
    </xf>
    <xf numFmtId="0" fontId="0" fillId="0" borderId="0" xfId="0" applyAlignment="1">
      <alignment horizontal="left" wrapText="1" indent="1"/>
    </xf>
    <xf numFmtId="0" fontId="33" fillId="0" borderId="0" xfId="0" applyFont="1" applyAlignment="1">
      <alignment horizontal="left" wrapText="1" indent="1"/>
    </xf>
    <xf numFmtId="0" fontId="33" fillId="0" borderId="0" xfId="0" applyFont="1"/>
    <xf numFmtId="2" fontId="0" fillId="0" borderId="0" xfId="0" applyNumberFormat="1" applyAlignment="1">
      <alignment horizontal="right" indent="1"/>
    </xf>
    <xf numFmtId="0" fontId="0" fillId="0" borderId="69" xfId="0" applyBorder="1" applyAlignment="1">
      <alignment horizontal="right" indent="1"/>
    </xf>
    <xf numFmtId="3" fontId="0" fillId="0" borderId="2" xfId="0" applyNumberFormat="1" applyBorder="1" applyAlignment="1">
      <alignment horizontal="right" vertical="center" wrapText="1" indent="1"/>
    </xf>
    <xf numFmtId="3" fontId="0" fillId="0" borderId="4" xfId="0" applyNumberFormat="1" applyBorder="1" applyAlignment="1">
      <alignment horizontal="right" vertical="center" wrapText="1" indent="1"/>
    </xf>
    <xf numFmtId="3" fontId="0" fillId="0" borderId="62" xfId="0" applyNumberFormat="1" applyBorder="1" applyAlignment="1">
      <alignment horizontal="right" vertical="center" wrapText="1" indent="1"/>
    </xf>
    <xf numFmtId="0" fontId="0" fillId="0" borderId="53" xfId="0" applyBorder="1" applyAlignment="1">
      <alignment horizontal="right" indent="2"/>
    </xf>
    <xf numFmtId="0" fontId="0" fillId="0" borderId="25" xfId="0" applyBorder="1" applyAlignment="1">
      <alignment horizontal="left" wrapText="1" indent="1"/>
    </xf>
    <xf numFmtId="0" fontId="0" fillId="0" borderId="0" xfId="0" applyAlignment="1">
      <alignment wrapText="1"/>
    </xf>
    <xf numFmtId="3" fontId="0" fillId="0" borderId="4" xfId="0" applyNumberFormat="1" applyBorder="1" applyAlignment="1">
      <alignment horizontal="right" indent="1"/>
    </xf>
    <xf numFmtId="166" fontId="0" fillId="0" borderId="4" xfId="0" applyNumberFormat="1" applyBorder="1" applyAlignment="1">
      <alignment horizontal="right" indent="1"/>
    </xf>
    <xf numFmtId="166" fontId="0" fillId="0" borderId="2" xfId="0" applyNumberFormat="1" applyBorder="1" applyAlignment="1">
      <alignment horizontal="right" indent="1"/>
    </xf>
    <xf numFmtId="166" fontId="0" fillId="0" borderId="62" xfId="0" applyNumberFormat="1" applyBorder="1" applyAlignment="1">
      <alignment horizontal="right" indent="1"/>
    </xf>
    <xf numFmtId="166" fontId="0" fillId="0" borderId="0" xfId="0" applyNumberFormat="1" applyAlignment="1">
      <alignment horizontal="right" indent="1"/>
    </xf>
    <xf numFmtId="9" fontId="0" fillId="0" borderId="0" xfId="0" applyNumberFormat="1" applyAlignment="1">
      <alignment horizontal="right" indent="1"/>
    </xf>
    <xf numFmtId="164" fontId="0" fillId="0" borderId="0" xfId="0" applyNumberFormat="1" applyAlignment="1">
      <alignment horizontal="right" indent="1"/>
    </xf>
    <xf numFmtId="3" fontId="0" fillId="0" borderId="2" xfId="0" applyNumberFormat="1" applyBorder="1" applyAlignment="1">
      <alignment horizontal="center"/>
    </xf>
    <xf numFmtId="172" fontId="0" fillId="0" borderId="0" xfId="0" applyNumberFormat="1" applyAlignment="1">
      <alignment horizontal="right" indent="1"/>
    </xf>
    <xf numFmtId="0" fontId="0" fillId="0" borderId="0" xfId="0" applyAlignment="1">
      <alignment horizontal="left" vertical="center" wrapText="1" indent="1"/>
    </xf>
    <xf numFmtId="10" fontId="0" fillId="0" borderId="0" xfId="0" applyNumberFormat="1" applyAlignment="1">
      <alignment horizontal="right" indent="1"/>
    </xf>
    <xf numFmtId="0" fontId="0" fillId="0" borderId="0" xfId="0" applyAlignment="1">
      <alignment horizontal="right" wrapText="1" indent="1"/>
    </xf>
    <xf numFmtId="171" fontId="0" fillId="0" borderId="0" xfId="0" applyNumberFormat="1" applyAlignment="1">
      <alignment horizontal="right" vertical="center" indent="1"/>
    </xf>
    <xf numFmtId="3" fontId="0" fillId="3" borderId="0" xfId="0" applyNumberFormat="1" applyFill="1" applyAlignment="1">
      <alignment horizontal="right" indent="1"/>
    </xf>
    <xf numFmtId="3" fontId="0" fillId="3" borderId="25" xfId="0" applyNumberFormat="1" applyFill="1" applyBorder="1" applyAlignment="1">
      <alignment horizontal="right" indent="1"/>
    </xf>
    <xf numFmtId="3" fontId="0" fillId="0" borderId="70" xfId="0" applyNumberFormat="1" applyBorder="1" applyAlignment="1">
      <alignment horizontal="right" indent="1"/>
    </xf>
    <xf numFmtId="0" fontId="0" fillId="0" borderId="71" xfId="0" applyBorder="1" applyAlignment="1">
      <alignment horizontal="right" indent="1"/>
    </xf>
    <xf numFmtId="171" fontId="0" fillId="0" borderId="71" xfId="0" applyNumberFormat="1" applyBorder="1" applyAlignment="1">
      <alignment horizontal="right" vertical="center" indent="1"/>
    </xf>
    <xf numFmtId="2" fontId="0" fillId="0" borderId="71" xfId="0" applyNumberFormat="1" applyBorder="1" applyAlignment="1">
      <alignment horizontal="right" indent="1"/>
    </xf>
    <xf numFmtId="3" fontId="0" fillId="3" borderId="51" xfId="0" applyNumberFormat="1" applyFill="1" applyBorder="1" applyAlignment="1">
      <alignment horizontal="right" indent="1"/>
    </xf>
    <xf numFmtId="3" fontId="0" fillId="3" borderId="72" xfId="0" applyNumberFormat="1" applyFill="1" applyBorder="1" applyAlignment="1">
      <alignment horizontal="right" indent="1"/>
    </xf>
    <xf numFmtId="3" fontId="0" fillId="0" borderId="51" xfId="0" applyNumberFormat="1" applyBorder="1" applyAlignment="1">
      <alignment horizontal="right" indent="1"/>
    </xf>
    <xf numFmtId="0" fontId="0" fillId="0" borderId="0" xfId="0" applyAlignment="1">
      <alignment horizontal="left" textRotation="70" wrapText="1"/>
    </xf>
    <xf numFmtId="0" fontId="0" fillId="3" borderId="0" xfId="0" applyFill="1" applyAlignment="1">
      <alignment horizontal="left" textRotation="70" wrapText="1"/>
    </xf>
    <xf numFmtId="0" fontId="0" fillId="0" borderId="0" xfId="0" applyAlignment="1">
      <alignment textRotation="70"/>
    </xf>
    <xf numFmtId="10" fontId="0" fillId="6" borderId="2" xfId="1" applyNumberFormat="1" applyFont="1" applyFill="1" applyBorder="1" applyAlignment="1">
      <alignment horizontal="right" vertical="center" indent="1"/>
    </xf>
    <xf numFmtId="10" fontId="0" fillId="0" borderId="2" xfId="1" applyNumberFormat="1" applyFont="1" applyFill="1" applyBorder="1" applyAlignment="1">
      <alignment horizontal="right" indent="1"/>
    </xf>
    <xf numFmtId="10" fontId="0" fillId="0" borderId="0" xfId="0" applyNumberFormat="1" applyAlignment="1">
      <alignment horizontal="left" indent="1"/>
    </xf>
    <xf numFmtId="0" fontId="8" fillId="0" borderId="0" xfId="0" applyFont="1" applyAlignment="1">
      <alignment horizontal="left" textRotation="70" wrapText="1"/>
    </xf>
    <xf numFmtId="164" fontId="0" fillId="0" borderId="0" xfId="0" applyNumberFormat="1" applyAlignment="1">
      <alignment horizontal="center" vertical="center"/>
    </xf>
    <xf numFmtId="0" fontId="0" fillId="0" borderId="0" xfId="0" quotePrefix="1" applyAlignment="1">
      <alignment horizontal="right"/>
    </xf>
    <xf numFmtId="4" fontId="0" fillId="0" borderId="0" xfId="0" applyNumberFormat="1" applyAlignment="1">
      <alignment horizontal="right" indent="1"/>
    </xf>
    <xf numFmtId="3" fontId="3" fillId="0" borderId="53" xfId="0" applyNumberFormat="1" applyFont="1" applyBorder="1" applyAlignment="1">
      <alignment horizontal="right" indent="1"/>
    </xf>
    <xf numFmtId="0" fontId="3" fillId="0" borderId="0" xfId="0" applyFont="1" applyAlignment="1">
      <alignment horizontal="left"/>
    </xf>
    <xf numFmtId="3" fontId="9" fillId="0" borderId="0" xfId="0" applyNumberFormat="1" applyFont="1" applyAlignment="1">
      <alignment horizontal="right" indent="1"/>
    </xf>
    <xf numFmtId="0" fontId="35" fillId="0" borderId="3" xfId="0" applyFont="1" applyBorder="1" applyAlignment="1">
      <alignment horizontal="right" vertical="center" indent="1"/>
    </xf>
    <xf numFmtId="0" fontId="36" fillId="0" borderId="0" xfId="0" applyFont="1" applyAlignment="1">
      <alignment horizontal="right" vertical="center" indent="1"/>
    </xf>
    <xf numFmtId="0" fontId="6" fillId="0" borderId="0" xfId="0" applyFont="1" applyAlignment="1">
      <alignment horizontal="right" vertical="center" indent="1"/>
    </xf>
    <xf numFmtId="3" fontId="8" fillId="0" borderId="0" xfId="0" applyNumberFormat="1" applyFont="1" applyAlignment="1">
      <alignment horizontal="right" indent="1"/>
    </xf>
    <xf numFmtId="0" fontId="8" fillId="0" borderId="0" xfId="0" applyFont="1" applyAlignment="1">
      <alignment horizontal="right"/>
    </xf>
    <xf numFmtId="0" fontId="8" fillId="0" borderId="3" xfId="0" applyFont="1" applyBorder="1" applyAlignment="1">
      <alignment horizontal="right"/>
    </xf>
    <xf numFmtId="0" fontId="6" fillId="0" borderId="3" xfId="0" applyFont="1" applyBorder="1" applyAlignment="1">
      <alignment horizontal="right" vertical="center" indent="1"/>
    </xf>
    <xf numFmtId="3" fontId="0" fillId="0" borderId="3" xfId="0" applyNumberFormat="1" applyBorder="1" applyAlignment="1">
      <alignment horizontal="right" indent="1"/>
    </xf>
    <xf numFmtId="3" fontId="8" fillId="0" borderId="3" xfId="0" applyNumberFormat="1" applyFont="1" applyBorder="1" applyAlignment="1">
      <alignment horizontal="right" indent="1"/>
    </xf>
    <xf numFmtId="0" fontId="0" fillId="0" borderId="3" xfId="0" applyBorder="1" applyAlignment="1">
      <alignment vertical="center"/>
    </xf>
    <xf numFmtId="3" fontId="34" fillId="0" borderId="3" xfId="0" applyNumberFormat="1" applyFont="1" applyBorder="1" applyAlignment="1">
      <alignment horizontal="right" vertical="center" indent="1"/>
    </xf>
    <xf numFmtId="0" fontId="7" fillId="0" borderId="0" xfId="0" quotePrefix="1" applyFont="1" applyAlignment="1">
      <alignment vertical="center"/>
    </xf>
    <xf numFmtId="0" fontId="9" fillId="0" borderId="0" xfId="0" applyFont="1" applyAlignment="1">
      <alignment horizontal="left" indent="1"/>
    </xf>
    <xf numFmtId="0" fontId="36" fillId="0" borderId="0" xfId="0" applyFont="1" applyAlignment="1">
      <alignment horizontal="right" indent="1"/>
    </xf>
    <xf numFmtId="0" fontId="5" fillId="0" borderId="0" xfId="0" applyFont="1" applyAlignment="1">
      <alignment horizontal="right" indent="1"/>
    </xf>
    <xf numFmtId="0" fontId="7" fillId="0" borderId="51" xfId="0" applyFont="1" applyBorder="1"/>
    <xf numFmtId="172" fontId="13" fillId="0" borderId="0" xfId="2" applyNumberFormat="1" applyFont="1" applyAlignment="1">
      <alignment vertical="center"/>
    </xf>
    <xf numFmtId="172" fontId="11" fillId="0" borderId="0" xfId="2" applyNumberFormat="1" applyFont="1" applyAlignment="1">
      <alignment vertical="center"/>
    </xf>
    <xf numFmtId="0" fontId="4" fillId="0" borderId="0" xfId="0" applyFont="1" applyAlignment="1">
      <alignment horizontal="left" indent="1"/>
    </xf>
    <xf numFmtId="0" fontId="7" fillId="0" borderId="51" xfId="0" applyFont="1" applyBorder="1" applyAlignment="1">
      <alignment horizontal="left" indent="1"/>
    </xf>
    <xf numFmtId="165" fontId="0" fillId="0" borderId="0" xfId="1" applyNumberFormat="1" applyFont="1" applyAlignment="1">
      <alignment horizontal="right" indent="1"/>
    </xf>
    <xf numFmtId="0" fontId="0" fillId="0" borderId="25" xfId="0" applyBorder="1" applyAlignment="1">
      <alignment horizontal="left" vertical="center" wrapText="1" indent="1"/>
    </xf>
    <xf numFmtId="0" fontId="5" fillId="0" borderId="75" xfId="0" applyFont="1" applyBorder="1" applyAlignment="1">
      <alignment horizontal="right" vertical="center" indent="1"/>
    </xf>
    <xf numFmtId="0" fontId="0" fillId="0" borderId="0" xfId="0" quotePrefix="1" applyAlignment="1">
      <alignment horizontal="right" vertical="center"/>
    </xf>
    <xf numFmtId="0" fontId="34" fillId="0" borderId="77" xfId="0" quotePrefix="1" applyFont="1" applyBorder="1" applyAlignment="1">
      <alignment horizontal="right" vertical="center"/>
    </xf>
    <xf numFmtId="0" fontId="34" fillId="0" borderId="78" xfId="0" applyFont="1" applyBorder="1" applyAlignment="1">
      <alignment vertical="center"/>
    </xf>
    <xf numFmtId="0" fontId="0" fillId="0" borderId="78" xfId="0" applyBorder="1" applyAlignment="1">
      <alignment vertical="center"/>
    </xf>
    <xf numFmtId="0" fontId="0" fillId="0" borderId="79" xfId="0" applyBorder="1" applyAlignment="1">
      <alignment vertical="center"/>
    </xf>
    <xf numFmtId="3" fontId="0" fillId="0" borderId="0" xfId="0" applyNumberFormat="1" applyAlignment="1">
      <alignment horizontal="right" vertical="center"/>
    </xf>
    <xf numFmtId="3" fontId="34" fillId="0" borderId="78" xfId="0" applyNumberFormat="1" applyFont="1" applyBorder="1" applyAlignment="1">
      <alignment horizontal="right" vertical="center" indent="1"/>
    </xf>
    <xf numFmtId="0" fontId="35" fillId="0" borderId="78" xfId="0" applyFont="1" applyBorder="1" applyAlignment="1">
      <alignment horizontal="left" vertical="center" indent="1"/>
    </xf>
    <xf numFmtId="0" fontId="3" fillId="0" borderId="74" xfId="0" quotePrefix="1" applyFont="1" applyBorder="1" applyAlignment="1">
      <alignment horizontal="right" vertical="center"/>
    </xf>
    <xf numFmtId="0" fontId="3" fillId="0" borderId="76" xfId="0" applyFont="1" applyBorder="1" applyAlignment="1">
      <alignment vertical="center"/>
    </xf>
    <xf numFmtId="0" fontId="5" fillId="0" borderId="75" xfId="0" applyFont="1" applyBorder="1" applyAlignment="1">
      <alignment horizontal="left" vertical="center" indent="1"/>
    </xf>
    <xf numFmtId="3" fontId="3" fillId="0" borderId="75" xfId="0" applyNumberFormat="1" applyFont="1" applyBorder="1" applyAlignment="1">
      <alignment horizontal="right" vertical="center" indent="1"/>
    </xf>
    <xf numFmtId="0" fontId="3" fillId="0" borderId="0" xfId="2" applyFont="1"/>
    <xf numFmtId="0" fontId="1" fillId="0" borderId="0" xfId="2" applyFont="1"/>
    <xf numFmtId="0" fontId="11" fillId="0" borderId="0" xfId="2" applyFont="1" applyAlignment="1">
      <alignment horizontal="right" vertical="center" wrapText="1"/>
    </xf>
    <xf numFmtId="0" fontId="22" fillId="0" borderId="0" xfId="2" applyFont="1" applyAlignment="1">
      <alignment horizontal="right" vertical="center" wrapText="1"/>
    </xf>
    <xf numFmtId="0" fontId="2" fillId="20" borderId="0" xfId="2" applyFont="1" applyFill="1"/>
    <xf numFmtId="0" fontId="1" fillId="0" borderId="0" xfId="2" applyFont="1" applyAlignment="1">
      <alignment horizontal="left" indent="1"/>
    </xf>
    <xf numFmtId="0" fontId="1" fillId="0" borderId="0" xfId="2" applyFont="1" applyAlignment="1">
      <alignment horizontal="left" indent="2"/>
    </xf>
    <xf numFmtId="0" fontId="1" fillId="0" borderId="0" xfId="2" applyFont="1" applyAlignment="1">
      <alignment horizontal="left" indent="3"/>
    </xf>
    <xf numFmtId="0" fontId="1" fillId="0" borderId="0" xfId="2" applyFont="1" applyAlignment="1">
      <alignment horizontal="left"/>
    </xf>
    <xf numFmtId="2" fontId="38" fillId="0" borderId="0" xfId="0" applyNumberFormat="1" applyFont="1"/>
    <xf numFmtId="3" fontId="0" fillId="0" borderId="2" xfId="0" applyNumberFormat="1" applyBorder="1" applyAlignment="1">
      <alignment horizontal="center" vertical="center"/>
    </xf>
    <xf numFmtId="0" fontId="39" fillId="0" borderId="0" xfId="0" applyFont="1"/>
    <xf numFmtId="9" fontId="0" fillId="0" borderId="2" xfId="1" applyFont="1" applyFill="1" applyBorder="1" applyAlignment="1">
      <alignment horizontal="center" vertical="center"/>
    </xf>
    <xf numFmtId="0" fontId="0" fillId="18" borderId="2" xfId="0" applyFill="1" applyBorder="1" applyAlignment="1">
      <alignment horizontal="center" vertical="center"/>
    </xf>
    <xf numFmtId="9" fontId="0" fillId="18" borderId="2" xfId="1" applyFont="1" applyFill="1" applyBorder="1" applyAlignment="1">
      <alignment horizontal="center" vertical="center"/>
    </xf>
    <xf numFmtId="9" fontId="0" fillId="0" borderId="0" xfId="1" applyFont="1" applyFill="1" applyBorder="1" applyAlignment="1">
      <alignment horizontal="center" vertical="center"/>
    </xf>
    <xf numFmtId="0" fontId="0" fillId="0" borderId="0" xfId="0" applyAlignment="1">
      <alignment horizontal="right" wrapText="1"/>
    </xf>
    <xf numFmtId="0" fontId="1" fillId="19" borderId="0" xfId="2" applyFont="1" applyFill="1"/>
    <xf numFmtId="3" fontId="0" fillId="0" borderId="0" xfId="0" applyNumberFormat="1" applyAlignment="1">
      <alignment horizontal="right" vertical="center" indent="1"/>
    </xf>
    <xf numFmtId="0" fontId="0" fillId="0" borderId="0" xfId="0" quotePrefix="1" applyAlignment="1">
      <alignment horizontal="right" wrapText="1"/>
    </xf>
    <xf numFmtId="0" fontId="0" fillId="0" borderId="74" xfId="0" quotePrefix="1" applyBorder="1" applyAlignment="1">
      <alignment horizontal="right" vertical="center" wrapText="1"/>
    </xf>
    <xf numFmtId="0" fontId="35" fillId="0" borderId="78" xfId="0" applyFont="1" applyBorder="1" applyAlignment="1">
      <alignment horizontal="right" vertical="center" indent="1"/>
    </xf>
    <xf numFmtId="165" fontId="0" fillId="0" borderId="0" xfId="0" applyNumberFormat="1"/>
    <xf numFmtId="0" fontId="0" fillId="0" borderId="0" xfId="0" applyAlignment="1">
      <alignment horizontal="right" vertical="center" wrapText="1"/>
    </xf>
    <xf numFmtId="165" fontId="0" fillId="0" borderId="0" xfId="1" applyNumberFormat="1" applyFont="1" applyAlignment="1">
      <alignment horizontal="right" vertical="center" indent="1"/>
    </xf>
    <xf numFmtId="0" fontId="0" fillId="0" borderId="0" xfId="0" quotePrefix="1" applyAlignment="1">
      <alignment horizontal="right" vertical="center" wrapText="1"/>
    </xf>
    <xf numFmtId="0" fontId="0" fillId="0" borderId="51" xfId="0" applyBorder="1" applyAlignment="1">
      <alignment horizontal="right" indent="2"/>
    </xf>
    <xf numFmtId="0" fontId="0" fillId="0" borderId="51" xfId="0" applyBorder="1" applyAlignment="1">
      <alignment horizontal="right" vertical="center" wrapText="1" indent="1"/>
    </xf>
    <xf numFmtId="0" fontId="0" fillId="3" borderId="51" xfId="0" applyFill="1" applyBorder="1" applyAlignment="1">
      <alignment horizontal="right" indent="1"/>
    </xf>
    <xf numFmtId="0" fontId="1" fillId="0" borderId="0" xfId="2" applyFont="1" applyAlignment="1">
      <alignment horizontal="left" wrapText="1" indent="1"/>
    </xf>
    <xf numFmtId="0" fontId="1" fillId="0" borderId="0" xfId="2" applyFont="1" applyAlignment="1">
      <alignment wrapText="1"/>
    </xf>
    <xf numFmtId="0" fontId="21" fillId="0" borderId="0" xfId="0" applyFont="1" applyAlignment="1">
      <alignment vertical="center"/>
    </xf>
    <xf numFmtId="0" fontId="21" fillId="0" borderId="0" xfId="0" applyFont="1" applyAlignment="1">
      <alignment vertical="center" wrapText="1"/>
    </xf>
    <xf numFmtId="0" fontId="0" fillId="0" borderId="0" xfId="2" applyFont="1" applyAlignment="1">
      <alignment horizontal="left" indent="1"/>
    </xf>
    <xf numFmtId="0" fontId="8" fillId="0" borderId="0" xfId="0" applyFont="1" applyAlignment="1">
      <alignment horizontal="left" indent="1"/>
    </xf>
    <xf numFmtId="0" fontId="1" fillId="0" borderId="0" xfId="2" applyFont="1" applyAlignment="1">
      <alignment horizontal="left" wrapText="1"/>
    </xf>
    <xf numFmtId="0" fontId="21" fillId="0" borderId="0" xfId="0" applyFont="1" applyAlignment="1">
      <alignment wrapText="1"/>
    </xf>
    <xf numFmtId="0" fontId="8" fillId="0" borderId="0" xfId="0" applyFont="1" applyAlignment="1" applyProtection="1">
      <alignment vertical="center"/>
      <protection hidden="1"/>
    </xf>
    <xf numFmtId="0" fontId="8" fillId="0" borderId="0" xfId="0" applyFont="1" applyAlignment="1">
      <alignment vertical="center"/>
    </xf>
    <xf numFmtId="0" fontId="1" fillId="0" borderId="0" xfId="2" quotePrefix="1" applyFont="1"/>
    <xf numFmtId="0" fontId="8" fillId="0" borderId="0" xfId="2" applyFont="1" applyAlignment="1">
      <alignment horizontal="left" indent="1"/>
    </xf>
    <xf numFmtId="0" fontId="8" fillId="0" borderId="0" xfId="2" applyFont="1"/>
    <xf numFmtId="0" fontId="8" fillId="0" borderId="0" xfId="2" quotePrefix="1" applyFont="1"/>
    <xf numFmtId="0" fontId="8" fillId="0" borderId="0" xfId="2" quotePrefix="1" applyFont="1" applyAlignment="1">
      <alignment horizontal="left" indent="1"/>
    </xf>
    <xf numFmtId="0" fontId="21" fillId="0" borderId="0" xfId="0" applyFont="1" applyAlignment="1">
      <alignment horizontal="left" vertical="center" indent="1"/>
    </xf>
    <xf numFmtId="0" fontId="0" fillId="0" borderId="0" xfId="2" applyFont="1"/>
    <xf numFmtId="0" fontId="1" fillId="0" borderId="0" xfId="6"/>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2" applyFont="1" applyAlignment="1">
      <alignment wrapText="1"/>
    </xf>
    <xf numFmtId="0" fontId="0" fillId="0" borderId="88" xfId="0" applyBorder="1" applyAlignment="1">
      <alignment horizontal="center" vertical="center"/>
    </xf>
    <xf numFmtId="0" fontId="0" fillId="0" borderId="88" xfId="0" applyBorder="1" applyAlignment="1">
      <alignment vertical="center" wrapText="1"/>
    </xf>
    <xf numFmtId="0" fontId="3" fillId="0" borderId="0" xfId="0" applyFont="1" applyAlignment="1">
      <alignment horizontal="center" vertical="center"/>
    </xf>
    <xf numFmtId="0" fontId="3" fillId="0" borderId="0" xfId="0" applyFont="1" applyAlignment="1">
      <alignment wrapText="1"/>
    </xf>
    <xf numFmtId="14" fontId="0" fillId="0" borderId="88" xfId="0" applyNumberFormat="1" applyBorder="1" applyAlignment="1">
      <alignment horizontal="center" vertical="center"/>
    </xf>
    <xf numFmtId="0" fontId="8" fillId="19" borderId="0" xfId="2" applyFont="1" applyFill="1" applyAlignment="1">
      <alignment horizontal="left" indent="1"/>
    </xf>
    <xf numFmtId="0" fontId="34" fillId="0" borderId="3" xfId="0" applyFont="1" applyBorder="1" applyAlignment="1">
      <alignment horizontal="right" vertical="center"/>
    </xf>
    <xf numFmtId="4" fontId="0" fillId="0" borderId="0" xfId="0" applyNumberFormat="1"/>
    <xf numFmtId="0" fontId="16" fillId="0" borderId="0" xfId="0" applyFont="1" applyProtection="1">
      <protection hidden="1"/>
    </xf>
    <xf numFmtId="0" fontId="3" fillId="0" borderId="0" xfId="0" applyFont="1" applyAlignment="1">
      <alignment vertical="center"/>
    </xf>
    <xf numFmtId="0" fontId="1" fillId="22" borderId="0" xfId="2" applyFont="1" applyFill="1"/>
    <xf numFmtId="0" fontId="37" fillId="0" borderId="0" xfId="0" applyFont="1" applyProtection="1">
      <protection hidden="1"/>
    </xf>
    <xf numFmtId="169" fontId="16" fillId="23" borderId="2" xfId="2" applyNumberFormat="1" applyFont="1" applyFill="1" applyBorder="1" applyAlignment="1">
      <alignment horizontal="center" vertical="center"/>
    </xf>
    <xf numFmtId="167" fontId="45" fillId="0" borderId="2" xfId="2" applyNumberFormat="1" applyFont="1" applyBorder="1" applyAlignment="1">
      <alignment vertical="center"/>
    </xf>
    <xf numFmtId="0" fontId="11" fillId="24" borderId="0" xfId="2" applyFont="1" applyFill="1" applyAlignment="1">
      <alignment horizontal="left" vertical="center"/>
    </xf>
    <xf numFmtId="49" fontId="11" fillId="24" borderId="0" xfId="2" applyNumberFormat="1" applyFont="1" applyFill="1" applyAlignment="1">
      <alignment horizontal="left" vertical="center" wrapText="1"/>
    </xf>
    <xf numFmtId="49" fontId="11" fillId="24" borderId="0" xfId="2" applyNumberFormat="1" applyFont="1" applyFill="1" applyAlignment="1">
      <alignment horizontal="center" vertical="center" wrapText="1"/>
    </xf>
    <xf numFmtId="1" fontId="11" fillId="24" borderId="0" xfId="2" applyNumberFormat="1" applyFont="1" applyFill="1" applyAlignment="1">
      <alignment vertical="center" wrapText="1"/>
    </xf>
    <xf numFmtId="167" fontId="15" fillId="24" borderId="0" xfId="2" applyNumberFormat="1" applyFont="1" applyFill="1" applyAlignment="1">
      <alignment horizontal="right" vertical="center" wrapText="1"/>
    </xf>
    <xf numFmtId="0" fontId="11" fillId="24" borderId="0" xfId="2" applyFont="1" applyFill="1" applyAlignment="1">
      <alignment vertical="center"/>
    </xf>
    <xf numFmtId="0" fontId="18" fillId="24" borderId="0" xfId="2" applyFont="1" applyFill="1" applyAlignment="1">
      <alignment vertical="center"/>
    </xf>
    <xf numFmtId="0" fontId="8" fillId="0" borderId="0" xfId="0" applyFont="1" applyAlignment="1">
      <alignment horizontal="left" vertical="center"/>
    </xf>
    <xf numFmtId="0" fontId="1" fillId="17" borderId="0" xfId="2" applyFont="1" applyFill="1"/>
    <xf numFmtId="0" fontId="21" fillId="17" borderId="0" xfId="0" applyFont="1" applyFill="1" applyAlignment="1">
      <alignment vertical="center" wrapText="1"/>
    </xf>
    <xf numFmtId="0" fontId="8" fillId="17" borderId="0" xfId="0" applyFont="1" applyFill="1" applyAlignment="1" applyProtection="1">
      <alignment vertical="center" wrapText="1"/>
      <protection hidden="1"/>
    </xf>
    <xf numFmtId="0" fontId="20" fillId="0" borderId="0" xfId="0" applyFont="1" applyAlignment="1">
      <alignment vertical="center" wrapText="1"/>
    </xf>
    <xf numFmtId="0" fontId="9" fillId="0" borderId="0" xfId="0" applyFont="1" applyAlignment="1" applyProtection="1">
      <alignment vertical="center" wrapText="1"/>
      <protection hidden="1"/>
    </xf>
    <xf numFmtId="0" fontId="9" fillId="0" borderId="0" xfId="2" applyFont="1"/>
    <xf numFmtId="0" fontId="42" fillId="0" borderId="0" xfId="7" applyAlignment="1"/>
    <xf numFmtId="168" fontId="16" fillId="0" borderId="2" xfId="2" applyNumberFormat="1" applyFont="1" applyBorder="1" applyAlignment="1">
      <alignment horizontal="center" vertical="center"/>
    </xf>
    <xf numFmtId="0" fontId="17" fillId="0" borderId="2" xfId="2" applyFont="1" applyBorder="1" applyAlignment="1">
      <alignment horizontal="center" vertical="center"/>
    </xf>
    <xf numFmtId="0" fontId="1" fillId="2" borderId="0" xfId="2" applyFont="1" applyFill="1"/>
    <xf numFmtId="0" fontId="21" fillId="2" borderId="0" xfId="0" applyFont="1" applyFill="1" applyAlignment="1">
      <alignment vertical="center" wrapText="1"/>
    </xf>
    <xf numFmtId="0" fontId="8" fillId="2" borderId="0" xfId="0" applyFont="1" applyFill="1" applyAlignment="1" applyProtection="1">
      <alignment vertical="center" wrapText="1"/>
      <protection hidden="1"/>
    </xf>
    <xf numFmtId="0" fontId="42" fillId="0" borderId="0" xfId="7"/>
    <xf numFmtId="0" fontId="42" fillId="0" borderId="0" xfId="7" quotePrefix="1"/>
    <xf numFmtId="0" fontId="42" fillId="22" borderId="0" xfId="7" applyFill="1" applyAlignment="1">
      <alignment wrapText="1"/>
    </xf>
    <xf numFmtId="0" fontId="1" fillId="25" borderId="0" xfId="2" applyFont="1" applyFill="1"/>
    <xf numFmtId="0" fontId="21" fillId="25" borderId="0" xfId="0" applyFont="1" applyFill="1" applyAlignment="1">
      <alignment vertical="center" wrapText="1"/>
    </xf>
    <xf numFmtId="0" fontId="8" fillId="25" borderId="0" xfId="0" applyFont="1" applyFill="1" applyAlignment="1" applyProtection="1">
      <alignment vertical="center" wrapText="1"/>
      <protection hidden="1"/>
    </xf>
    <xf numFmtId="0" fontId="0" fillId="22" borderId="0" xfId="0" applyFill="1" applyAlignment="1">
      <alignment horizontal="left" vertical="center" wrapText="1"/>
    </xf>
    <xf numFmtId="0" fontId="21" fillId="22" borderId="0" xfId="0" applyFont="1" applyFill="1" applyAlignment="1">
      <alignment vertical="center" wrapText="1"/>
    </xf>
    <xf numFmtId="0" fontId="8" fillId="22" borderId="0" xfId="0" applyFont="1" applyFill="1" applyAlignment="1" applyProtection="1">
      <alignment vertical="center" wrapText="1"/>
      <protection hidden="1"/>
    </xf>
    <xf numFmtId="0" fontId="50" fillId="0" borderId="0" xfId="0" applyFont="1"/>
    <xf numFmtId="0" fontId="20" fillId="0" borderId="0" xfId="0" applyFont="1" applyAlignment="1">
      <alignment vertical="center"/>
    </xf>
    <xf numFmtId="0" fontId="1" fillId="24" borderId="0" xfId="2" applyFont="1" applyFill="1"/>
    <xf numFmtId="0" fontId="15" fillId="24" borderId="0" xfId="2" applyFont="1" applyFill="1" applyAlignment="1">
      <alignment vertical="center"/>
    </xf>
    <xf numFmtId="0" fontId="9" fillId="18" borderId="0" xfId="2" applyFont="1" applyFill="1"/>
    <xf numFmtId="0" fontId="43" fillId="0" borderId="0" xfId="0" applyFont="1" applyAlignment="1" applyProtection="1">
      <alignment horizontal="left" indent="1"/>
      <protection hidden="1"/>
    </xf>
    <xf numFmtId="0" fontId="16" fillId="0" borderId="0" xfId="0" applyFont="1" applyAlignment="1" applyProtection="1">
      <alignment vertical="top" wrapText="1"/>
      <protection hidden="1"/>
    </xf>
    <xf numFmtId="0" fontId="42" fillId="0" borderId="0" xfId="7" applyAlignment="1" applyProtection="1">
      <protection hidden="1"/>
    </xf>
    <xf numFmtId="0" fontId="16" fillId="0" borderId="0" xfId="2" applyFont="1" applyAlignment="1" applyProtection="1">
      <alignment vertical="top"/>
      <protection hidden="1"/>
    </xf>
    <xf numFmtId="0" fontId="51" fillId="0" borderId="0" xfId="0" applyFont="1" applyProtection="1">
      <protection hidden="1"/>
    </xf>
    <xf numFmtId="49" fontId="15" fillId="7" borderId="2" xfId="2" applyNumberFormat="1" applyFont="1" applyFill="1" applyBorder="1" applyAlignment="1" applyProtection="1">
      <alignment horizontal="center" vertical="center" wrapText="1"/>
      <protection locked="0"/>
    </xf>
    <xf numFmtId="0" fontId="44" fillId="0" borderId="0" xfId="2" applyFont="1" applyAlignment="1">
      <alignment horizontal="left" vertical="center"/>
    </xf>
    <xf numFmtId="3" fontId="25" fillId="9" borderId="33" xfId="2" applyNumberFormat="1" applyFont="1" applyFill="1" applyBorder="1" applyAlignment="1">
      <alignment horizontal="right" vertical="center"/>
    </xf>
    <xf numFmtId="3" fontId="25" fillId="9" borderId="35" xfId="2" applyNumberFormat="1" applyFont="1" applyFill="1" applyBorder="1" applyAlignment="1">
      <alignment horizontal="right" vertical="center"/>
    </xf>
    <xf numFmtId="3" fontId="25" fillId="7" borderId="33" xfId="2" applyNumberFormat="1" applyFont="1" applyFill="1" applyBorder="1" applyAlignment="1">
      <alignment horizontal="right" vertical="center"/>
    </xf>
    <xf numFmtId="3" fontId="20" fillId="4" borderId="24" xfId="2" applyNumberFormat="1" applyFont="1" applyFill="1" applyBorder="1" applyAlignment="1">
      <alignment horizontal="right" vertical="center"/>
    </xf>
    <xf numFmtId="0" fontId="0" fillId="0" borderId="0" xfId="0" applyAlignment="1">
      <alignment horizontal="center" vertical="center" wrapText="1"/>
    </xf>
    <xf numFmtId="4" fontId="0" fillId="4" borderId="103" xfId="0" applyNumberFormat="1" applyFill="1" applyBorder="1" applyAlignment="1">
      <alignment horizontal="right" vertical="top" wrapText="1" indent="1"/>
    </xf>
    <xf numFmtId="4" fontId="0" fillId="4" borderId="104" xfId="0" applyNumberFormat="1" applyFill="1" applyBorder="1" applyAlignment="1">
      <alignment horizontal="right" vertical="top" wrapText="1" indent="1"/>
    </xf>
    <xf numFmtId="3" fontId="0" fillId="4" borderId="104" xfId="0" applyNumberFormat="1" applyFill="1" applyBorder="1" applyAlignment="1">
      <alignment horizontal="right" vertical="top" wrapText="1" indent="1"/>
    </xf>
    <xf numFmtId="4" fontId="0" fillId="4" borderId="105" xfId="0" applyNumberFormat="1" applyFill="1" applyBorder="1" applyAlignment="1">
      <alignment horizontal="right" vertical="top" wrapText="1" indent="1"/>
    </xf>
    <xf numFmtId="1" fontId="0" fillId="4" borderId="105" xfId="0" applyNumberFormat="1" applyFill="1" applyBorder="1" applyAlignment="1">
      <alignment horizontal="right" vertical="top" wrapText="1" indent="1"/>
    </xf>
    <xf numFmtId="4" fontId="0" fillId="4" borderId="0" xfId="0" applyNumberFormat="1" applyFill="1" applyAlignment="1">
      <alignment horizontal="right" vertical="center" indent="1"/>
    </xf>
    <xf numFmtId="0" fontId="8" fillId="0" borderId="0" xfId="0" applyFont="1" applyAlignment="1">
      <alignment horizontal="left" vertical="top" indent="1"/>
    </xf>
    <xf numFmtId="0" fontId="43" fillId="9" borderId="0" xfId="0" applyFont="1" applyFill="1" applyAlignment="1">
      <alignment horizontal="left" vertical="center" indent="1"/>
    </xf>
    <xf numFmtId="0" fontId="0" fillId="9" borderId="0" xfId="0" applyFill="1" applyAlignment="1">
      <alignment horizontal="left" vertical="top" wrapText="1" indent="1"/>
    </xf>
    <xf numFmtId="0" fontId="1" fillId="9" borderId="0" xfId="0" applyFont="1" applyFill="1" applyAlignment="1">
      <alignment horizontal="left" vertical="top" wrapText="1" indent="1"/>
    </xf>
    <xf numFmtId="0" fontId="8" fillId="9" borderId="0" xfId="0" applyFont="1" applyFill="1" applyAlignment="1">
      <alignment horizontal="left" vertical="top" wrapText="1" indent="1"/>
    </xf>
    <xf numFmtId="0" fontId="42" fillId="22" borderId="0" xfId="7" applyFill="1" applyAlignment="1" applyProtection="1">
      <alignment wrapText="1"/>
    </xf>
    <xf numFmtId="0" fontId="0" fillId="0" borderId="0" xfId="0" applyAlignment="1">
      <alignment horizontal="left" vertical="top" wrapText="1" indent="1"/>
    </xf>
    <xf numFmtId="0" fontId="46" fillId="0" borderId="0" xfId="0" applyFont="1" applyAlignment="1">
      <alignment horizontal="left" vertical="center"/>
    </xf>
    <xf numFmtId="0" fontId="16" fillId="0" borderId="0" xfId="0" applyFont="1" applyAlignment="1">
      <alignment vertical="top"/>
    </xf>
    <xf numFmtId="0" fontId="0" fillId="0" borderId="0" xfId="0" applyAlignment="1">
      <alignment horizontal="right" vertical="top" wrapText="1" indent="1"/>
    </xf>
    <xf numFmtId="0" fontId="0" fillId="0" borderId="43" xfId="0" applyBorder="1" applyAlignment="1">
      <alignment horizontal="right" vertical="top" wrapText="1" indent="1"/>
    </xf>
    <xf numFmtId="4" fontId="0" fillId="0" borderId="0" xfId="0" applyNumberFormat="1" applyAlignment="1">
      <alignment horizontal="right" vertical="top" wrapText="1" indent="1"/>
    </xf>
    <xf numFmtId="0" fontId="0" fillId="0" borderId="11" xfId="0" applyBorder="1" applyAlignment="1">
      <alignment horizontal="right" vertical="top" wrapText="1" indent="1"/>
    </xf>
    <xf numFmtId="3" fontId="0" fillId="0" borderId="0" xfId="0" applyNumberFormat="1" applyAlignment="1">
      <alignment horizontal="right" vertical="top" wrapText="1" indent="1"/>
    </xf>
    <xf numFmtId="0" fontId="0" fillId="0" borderId="0" xfId="0" applyAlignment="1">
      <alignment horizontal="left" vertical="top"/>
    </xf>
    <xf numFmtId="4" fontId="0" fillId="0" borderId="105" xfId="0" applyNumberFormat="1" applyBorder="1" applyAlignment="1">
      <alignment horizontal="right" vertical="top" wrapText="1" indent="1"/>
    </xf>
    <xf numFmtId="1" fontId="0" fillId="0" borderId="0" xfId="0" applyNumberFormat="1" applyAlignment="1">
      <alignment horizontal="right" vertical="top" wrapText="1" indent="1"/>
    </xf>
    <xf numFmtId="0" fontId="29" fillId="0" borderId="0" xfId="0" applyFont="1" applyAlignment="1">
      <alignment horizontal="left" vertical="top" indent="1"/>
    </xf>
    <xf numFmtId="3" fontId="0" fillId="0" borderId="105" xfId="0" applyNumberFormat="1" applyBorder="1" applyAlignment="1">
      <alignment horizontal="right" vertical="top" wrapText="1" indent="1"/>
    </xf>
    <xf numFmtId="0" fontId="0" fillId="0" borderId="0" xfId="0" applyAlignment="1">
      <alignment horizontal="right" vertical="center" indent="1"/>
    </xf>
    <xf numFmtId="4" fontId="0" fillId="0" borderId="0" xfId="0" applyNumberFormat="1" applyAlignment="1">
      <alignment horizontal="right" vertical="center" indent="1"/>
    </xf>
    <xf numFmtId="0" fontId="29" fillId="0" borderId="0" xfId="0" applyFont="1"/>
    <xf numFmtId="0" fontId="8" fillId="0" borderId="0" xfId="0" applyFont="1" applyAlignment="1">
      <alignment horizontal="left" vertical="center" wrapText="1"/>
    </xf>
    <xf numFmtId="3" fontId="8" fillId="0" borderId="0" xfId="0" applyNumberFormat="1" applyFont="1" applyAlignment="1">
      <alignment horizontal="right" vertical="center" indent="1"/>
    </xf>
    <xf numFmtId="0" fontId="29" fillId="0" borderId="51" xfId="0" applyFont="1" applyBorder="1"/>
    <xf numFmtId="0" fontId="0" fillId="0" borderId="73" xfId="0" applyBorder="1" applyAlignment="1">
      <alignment vertical="center"/>
    </xf>
    <xf numFmtId="0" fontId="0" fillId="0" borderId="73" xfId="0" applyBorder="1"/>
    <xf numFmtId="0" fontId="0" fillId="0" borderId="0" xfId="0" applyAlignment="1">
      <alignment horizontal="left" wrapText="1" indent="2"/>
    </xf>
    <xf numFmtId="3" fontId="0" fillId="0" borderId="0" xfId="0" applyNumberFormat="1" applyAlignment="1">
      <alignment horizontal="left" vertical="top" wrapText="1" indent="1"/>
    </xf>
    <xf numFmtId="0" fontId="3" fillId="0" borderId="0" xfId="0" applyFont="1" applyAlignment="1">
      <alignment horizontal="left" vertical="top" wrapText="1" indent="1"/>
    </xf>
    <xf numFmtId="3" fontId="0" fillId="0" borderId="0" xfId="0" applyNumberFormat="1" applyAlignment="1">
      <alignment horizontal="left" vertical="top" indent="1"/>
    </xf>
    <xf numFmtId="0" fontId="0" fillId="0" borderId="43" xfId="0" applyBorder="1" applyAlignment="1">
      <alignment horizontal="left" vertical="top" wrapText="1" indent="1"/>
    </xf>
    <xf numFmtId="3" fontId="0" fillId="0" borderId="43" xfId="0" applyNumberFormat="1" applyBorder="1" applyAlignment="1">
      <alignment horizontal="center" vertical="top" wrapText="1"/>
    </xf>
    <xf numFmtId="0" fontId="0" fillId="0" borderId="11" xfId="0" applyBorder="1" applyAlignment="1">
      <alignment horizontal="left" vertical="top" wrapText="1" indent="1"/>
    </xf>
    <xf numFmtId="3" fontId="0" fillId="0" borderId="11" xfId="0" applyNumberFormat="1" applyBorder="1" applyAlignment="1">
      <alignment horizontal="center" vertical="top" wrapText="1"/>
    </xf>
    <xf numFmtId="0" fontId="0" fillId="0" borderId="48" xfId="0" applyBorder="1" applyAlignment="1">
      <alignment horizontal="left" vertical="top" wrapText="1" indent="1"/>
    </xf>
    <xf numFmtId="3" fontId="0" fillId="0" borderId="48" xfId="0" applyNumberFormat="1" applyBorder="1" applyAlignment="1">
      <alignment horizontal="center" vertical="top" wrapText="1"/>
    </xf>
    <xf numFmtId="0" fontId="0" fillId="0" borderId="48" xfId="0" applyBorder="1" applyAlignment="1">
      <alignment horizontal="center" vertical="top" wrapText="1"/>
    </xf>
    <xf numFmtId="3" fontId="0" fillId="0" borderId="0" xfId="0" applyNumberFormat="1" applyAlignment="1">
      <alignment horizontal="center" vertical="top" wrapText="1"/>
    </xf>
    <xf numFmtId="0" fontId="42" fillId="0" borderId="0" xfId="7" applyAlignment="1" applyProtection="1">
      <alignment horizontal="left"/>
    </xf>
    <xf numFmtId="0" fontId="43" fillId="0" borderId="0" xfId="0" applyFont="1" applyAlignment="1" applyProtection="1">
      <alignment horizontal="left" vertical="top" indent="1"/>
      <protection hidden="1"/>
    </xf>
    <xf numFmtId="0" fontId="43" fillId="0" borderId="0" xfId="0" applyFont="1" applyAlignment="1" applyProtection="1">
      <alignment horizontal="right" vertical="top" indent="1"/>
      <protection hidden="1"/>
    </xf>
    <xf numFmtId="0" fontId="37" fillId="0" borderId="0" xfId="0" applyFont="1" applyAlignment="1" applyProtection="1">
      <alignment horizontal="right" vertical="top" indent="1"/>
      <protection hidden="1"/>
    </xf>
    <xf numFmtId="0" fontId="52" fillId="0" borderId="0" xfId="0" applyFont="1" applyAlignment="1" applyProtection="1">
      <alignment horizontal="left" indent="1"/>
      <protection hidden="1"/>
    </xf>
    <xf numFmtId="3" fontId="52" fillId="0" borderId="0" xfId="0" applyNumberFormat="1" applyFont="1" applyAlignment="1" applyProtection="1">
      <alignment horizontal="left" indent="1"/>
      <protection hidden="1"/>
    </xf>
    <xf numFmtId="0" fontId="52" fillId="0" borderId="0" xfId="0" applyFont="1" applyAlignment="1" applyProtection="1">
      <alignment horizontal="right" indent="1"/>
      <protection hidden="1"/>
    </xf>
    <xf numFmtId="0" fontId="52" fillId="0" borderId="0" xfId="0" applyFont="1" applyAlignment="1" applyProtection="1">
      <alignment horizontal="right" vertical="top" indent="1"/>
      <protection hidden="1"/>
    </xf>
    <xf numFmtId="0" fontId="37" fillId="2" borderId="0" xfId="0" applyFont="1" applyFill="1" applyAlignment="1" applyProtection="1">
      <alignment vertical="center"/>
      <protection hidden="1"/>
    </xf>
    <xf numFmtId="0" fontId="37" fillId="2" borderId="0" xfId="0" applyFont="1" applyFill="1" applyAlignment="1" applyProtection="1">
      <alignment horizontal="right" vertical="top" indent="1"/>
      <protection hidden="1"/>
    </xf>
    <xf numFmtId="0" fontId="37" fillId="2" borderId="0" xfId="0" applyFont="1" applyFill="1" applyAlignment="1" applyProtection="1">
      <alignment horizontal="left" vertical="center"/>
      <protection hidden="1"/>
    </xf>
    <xf numFmtId="0" fontId="53" fillId="22" borderId="0" xfId="7" applyFont="1" applyFill="1" applyAlignment="1" applyProtection="1">
      <alignment vertical="center"/>
      <protection hidden="1"/>
    </xf>
    <xf numFmtId="0" fontId="37" fillId="0" borderId="0" xfId="0" applyFont="1" applyAlignment="1" applyProtection="1">
      <alignment vertical="center"/>
      <protection hidden="1"/>
    </xf>
    <xf numFmtId="0" fontId="54" fillId="0" borderId="0" xfId="0" applyFont="1" applyAlignment="1" applyProtection="1">
      <alignment horizontal="left" vertical="center"/>
      <protection hidden="1"/>
    </xf>
    <xf numFmtId="0" fontId="37" fillId="0" borderId="0" xfId="0" applyFont="1" applyAlignment="1" applyProtection="1">
      <alignment horizontal="left" indent="1"/>
      <protection hidden="1"/>
    </xf>
    <xf numFmtId="0" fontId="55" fillId="0" borderId="0" xfId="0" applyFont="1" applyAlignment="1" applyProtection="1">
      <alignment horizontal="left" vertical="top" indent="1"/>
      <protection hidden="1"/>
    </xf>
    <xf numFmtId="0" fontId="52" fillId="0" borderId="0" xfId="0" applyFont="1" applyProtection="1">
      <protection hidden="1"/>
    </xf>
    <xf numFmtId="0" fontId="52" fillId="0" borderId="0" xfId="0" applyFont="1" applyAlignment="1" applyProtection="1">
      <alignment horizontal="left" indent="2"/>
      <protection hidden="1"/>
    </xf>
    <xf numFmtId="0" fontId="52" fillId="0" borderId="0" xfId="0" applyFont="1" applyAlignment="1" applyProtection="1">
      <alignment horizontal="left" vertical="top" indent="1"/>
      <protection hidden="1"/>
    </xf>
    <xf numFmtId="0" fontId="52" fillId="0" borderId="0" xfId="0" applyFont="1" applyAlignment="1" applyProtection="1">
      <alignment horizontal="right" vertical="top" indent="1"/>
      <protection locked="0"/>
    </xf>
    <xf numFmtId="0" fontId="37" fillId="0" borderId="0" xfId="0" applyFont="1" applyAlignment="1" applyProtection="1">
      <alignment horizontal="right" vertical="top" indent="1"/>
      <protection locked="0"/>
    </xf>
    <xf numFmtId="0" fontId="52" fillId="0" borderId="0" xfId="0" applyFont="1" applyAlignment="1" applyProtection="1">
      <alignment horizontal="right" indent="2"/>
      <protection hidden="1"/>
    </xf>
    <xf numFmtId="0" fontId="56" fillId="0" borderId="0" xfId="0" applyFont="1" applyAlignment="1" applyProtection="1">
      <alignment horizontal="left" vertical="top" indent="1"/>
      <protection hidden="1"/>
    </xf>
    <xf numFmtId="0" fontId="52" fillId="0" borderId="0" xfId="0" applyFont="1" applyAlignment="1" applyProtection="1">
      <alignment horizontal="left" vertical="center" indent="1"/>
      <protection hidden="1"/>
    </xf>
    <xf numFmtId="0" fontId="52" fillId="4" borderId="89" xfId="0" applyFont="1" applyFill="1" applyBorder="1" applyAlignment="1">
      <alignment horizontal="left"/>
    </xf>
    <xf numFmtId="1" fontId="52" fillId="4" borderId="91" xfId="0" applyNumberFormat="1" applyFont="1" applyFill="1" applyBorder="1" applyAlignment="1">
      <alignment horizontal="left"/>
    </xf>
    <xf numFmtId="0" fontId="52" fillId="0" borderId="0" xfId="0" applyFont="1" applyAlignment="1" applyProtection="1">
      <alignment horizontal="right"/>
      <protection hidden="1"/>
    </xf>
    <xf numFmtId="0" fontId="53" fillId="0" borderId="0" xfId="7" applyFont="1" applyAlignment="1" applyProtection="1">
      <alignment horizontal="left" vertical="top" indent="1"/>
      <protection hidden="1"/>
    </xf>
    <xf numFmtId="0" fontId="54" fillId="0" borderId="0" xfId="0" applyFont="1" applyProtection="1">
      <protection hidden="1"/>
    </xf>
    <xf numFmtId="0" fontId="53" fillId="0" borderId="0" xfId="7" applyFont="1" applyAlignment="1" applyProtection="1">
      <alignment horizontal="left" vertical="top"/>
      <protection hidden="1"/>
    </xf>
    <xf numFmtId="0" fontId="57" fillId="0" borderId="0" xfId="5" applyFont="1" applyAlignment="1" applyProtection="1">
      <alignment horizontal="left" indent="2"/>
      <protection hidden="1"/>
    </xf>
    <xf numFmtId="0" fontId="37" fillId="0" borderId="0" xfId="0" applyFont="1" applyAlignment="1" applyProtection="1">
      <alignment horizontal="left" vertical="top" wrapText="1" indent="1"/>
      <protection hidden="1"/>
    </xf>
    <xf numFmtId="0" fontId="37" fillId="21" borderId="95"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37" fillId="21" borderId="97"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37" fillId="21" borderId="98"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37" fillId="21" borderId="99" xfId="0" applyFont="1" applyFill="1" applyBorder="1" applyAlignment="1" applyProtection="1">
      <alignment vertical="center"/>
      <protection locked="0"/>
      <extLst>
        <ext xmlns:xfpb="http://schemas.microsoft.com/office/spreadsheetml/2022/featurepropertybag" uri="{C7286773-470A-42A8-94C5-96B5CB345126}">
          <xfpb:xfComplement i="0"/>
        </ext>
      </extLst>
    </xf>
    <xf numFmtId="0" fontId="37" fillId="0" borderId="0" xfId="0" applyFont="1" applyAlignment="1" applyProtection="1">
      <alignment horizontal="left" vertical="top" indent="1"/>
      <protection hidden="1"/>
    </xf>
    <xf numFmtId="0" fontId="37" fillId="0" borderId="0" xfId="0" applyFont="1" applyAlignment="1" applyProtection="1">
      <alignment horizontal="left" wrapText="1"/>
      <protection hidden="1"/>
    </xf>
    <xf numFmtId="0" fontId="37" fillId="0" borderId="0" xfId="0" applyFont="1" applyAlignment="1" applyProtection="1">
      <alignment wrapText="1"/>
      <protection hidden="1"/>
    </xf>
    <xf numFmtId="0" fontId="37" fillId="21" borderId="95" xfId="0"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53" fillId="0" borderId="0" xfId="7" applyFont="1" applyAlignment="1" applyProtection="1">
      <protection hidden="1"/>
    </xf>
    <xf numFmtId="0" fontId="59" fillId="0" borderId="0" xfId="0" applyFont="1" applyAlignment="1" applyProtection="1">
      <alignment horizontal="left" indent="1"/>
      <protection hidden="1"/>
    </xf>
    <xf numFmtId="0" fontId="59" fillId="2" borderId="0" xfId="0" applyFont="1" applyFill="1" applyAlignment="1" applyProtection="1">
      <alignment horizontal="left" vertical="center" indent="1"/>
      <protection hidden="1"/>
    </xf>
    <xf numFmtId="3" fontId="52" fillId="21" borderId="91" xfId="0" applyNumberFormat="1" applyFont="1" applyFill="1" applyBorder="1" applyAlignment="1" applyProtection="1">
      <alignment vertical="top" wrapText="1"/>
      <protection locked="0"/>
    </xf>
    <xf numFmtId="0" fontId="60" fillId="22" borderId="0" xfId="7" applyFont="1" applyFill="1" applyAlignment="1" applyProtection="1">
      <alignment vertical="center"/>
      <protection hidden="1"/>
    </xf>
    <xf numFmtId="0" fontId="52" fillId="0" borderId="0" xfId="0" applyFont="1" applyAlignment="1" applyProtection="1">
      <alignment horizontal="left" vertical="top"/>
      <protection hidden="1"/>
    </xf>
    <xf numFmtId="3" fontId="52" fillId="0" borderId="0" xfId="0" applyNumberFormat="1" applyFont="1" applyAlignment="1" applyProtection="1">
      <alignment horizontal="left"/>
      <protection hidden="1"/>
    </xf>
    <xf numFmtId="0" fontId="52" fillId="21" borderId="92" xfId="0" applyFont="1" applyFill="1" applyBorder="1" applyAlignment="1" applyProtection="1">
      <alignment horizontal="left" vertical="top" wrapText="1"/>
      <protection locked="0"/>
    </xf>
    <xf numFmtId="0" fontId="37" fillId="21" borderId="93" xfId="0" applyFont="1" applyFill="1" applyBorder="1" applyAlignment="1" applyProtection="1">
      <alignment horizontal="left" vertical="top"/>
      <protection locked="0"/>
    </xf>
    <xf numFmtId="0" fontId="52" fillId="21" borderId="89" xfId="0" applyFont="1" applyFill="1" applyBorder="1" applyAlignment="1" applyProtection="1">
      <alignment horizontal="left" vertical="top" wrapText="1"/>
      <protection locked="0"/>
    </xf>
    <xf numFmtId="0" fontId="52" fillId="21" borderId="95" xfId="0" applyFont="1" applyFill="1" applyBorder="1" applyAlignment="1" applyProtection="1">
      <alignment horizontal="left" vertical="top" wrapText="1"/>
      <protection locked="0"/>
    </xf>
    <xf numFmtId="0" fontId="52" fillId="21" borderId="96" xfId="0" applyFont="1" applyFill="1" applyBorder="1" applyAlignment="1" applyProtection="1">
      <alignment horizontal="left"/>
      <protection locked="0"/>
    </xf>
    <xf numFmtId="0" fontId="52" fillId="21" borderId="90" xfId="0" applyFont="1" applyFill="1" applyBorder="1" applyAlignment="1" applyProtection="1">
      <alignment horizontal="left" vertical="top" wrapText="1"/>
      <protection locked="0"/>
    </xf>
    <xf numFmtId="0" fontId="52" fillId="21" borderId="98" xfId="0" applyFont="1" applyFill="1" applyBorder="1" applyAlignment="1" applyProtection="1">
      <alignment horizontal="left"/>
      <protection locked="0"/>
    </xf>
    <xf numFmtId="0" fontId="52" fillId="21" borderId="91" xfId="0" applyFont="1" applyFill="1" applyBorder="1" applyAlignment="1" applyProtection="1">
      <alignment horizontal="left" vertical="top" wrapText="1"/>
      <protection locked="0"/>
    </xf>
    <xf numFmtId="0" fontId="52" fillId="21" borderId="100" xfId="0" applyFont="1" applyFill="1" applyBorder="1" applyAlignment="1" applyProtection="1">
      <alignment horizontal="left"/>
      <protection locked="0"/>
    </xf>
    <xf numFmtId="0" fontId="52" fillId="0" borderId="0" xfId="0" applyFont="1" applyAlignment="1" applyProtection="1">
      <alignment horizontal="left"/>
      <protection hidden="1"/>
    </xf>
    <xf numFmtId="0" fontId="37" fillId="0" borderId="0" xfId="0" applyFont="1" applyAlignment="1" applyProtection="1">
      <alignment horizontal="left"/>
      <protection hidden="1"/>
    </xf>
    <xf numFmtId="173" fontId="52" fillId="21" borderId="95" xfId="0" applyNumberFormat="1" applyFont="1" applyFill="1" applyBorder="1" applyAlignment="1" applyProtection="1">
      <alignment horizontal="left"/>
      <protection locked="0"/>
    </xf>
    <xf numFmtId="173" fontId="52" fillId="21" borderId="97" xfId="0" applyNumberFormat="1" applyFont="1" applyFill="1" applyBorder="1" applyAlignment="1" applyProtection="1">
      <alignment horizontal="left"/>
      <protection locked="0"/>
    </xf>
    <xf numFmtId="173" fontId="52" fillId="21" borderId="99" xfId="0" applyNumberFormat="1" applyFont="1" applyFill="1" applyBorder="1" applyAlignment="1" applyProtection="1">
      <alignment horizontal="left"/>
      <protection locked="0"/>
    </xf>
    <xf numFmtId="2" fontId="37" fillId="4" borderId="0" xfId="0" applyNumberFormat="1" applyFont="1" applyFill="1" applyAlignment="1">
      <alignment horizontal="left"/>
    </xf>
    <xf numFmtId="0" fontId="37" fillId="4" borderId="0" xfId="0" applyFont="1" applyFill="1" applyAlignment="1">
      <alignment horizontal="left"/>
    </xf>
    <xf numFmtId="3" fontId="37" fillId="4" borderId="0" xfId="0" applyNumberFormat="1" applyFont="1" applyFill="1" applyAlignment="1">
      <alignment horizontal="left"/>
    </xf>
    <xf numFmtId="14" fontId="37" fillId="21" borderId="94" xfId="0" applyNumberFormat="1" applyFont="1" applyFill="1" applyBorder="1" applyAlignment="1" applyProtection="1">
      <alignment horizontal="left" vertical="top" wrapText="1"/>
      <protection locked="0"/>
    </xf>
    <xf numFmtId="0" fontId="37" fillId="21" borderId="94" xfId="0" applyFont="1" applyFill="1" applyBorder="1" applyAlignment="1" applyProtection="1">
      <alignment horizontal="left" vertical="top" wrapText="1"/>
      <protection locked="0"/>
    </xf>
    <xf numFmtId="0" fontId="52" fillId="0" borderId="0" xfId="0" applyFont="1" applyAlignment="1" applyProtection="1">
      <alignment horizontal="right" vertical="top"/>
      <protection hidden="1"/>
    </xf>
    <xf numFmtId="0" fontId="37" fillId="0" borderId="0" xfId="0" applyFont="1" applyAlignment="1" applyProtection="1">
      <alignment horizontal="right" vertical="top"/>
      <protection hidden="1"/>
    </xf>
    <xf numFmtId="3" fontId="37" fillId="4" borderId="89" xfId="0" applyNumberFormat="1" applyFont="1" applyFill="1" applyBorder="1" applyAlignment="1">
      <alignment horizontal="right" vertical="top"/>
    </xf>
    <xf numFmtId="3" fontId="37" fillId="4" borderId="90" xfId="0" applyNumberFormat="1" applyFont="1" applyFill="1" applyBorder="1" applyAlignment="1">
      <alignment horizontal="right" vertical="top"/>
    </xf>
    <xf numFmtId="3" fontId="37" fillId="4" borderId="91" xfId="0" applyNumberFormat="1" applyFont="1" applyFill="1" applyBorder="1" applyAlignment="1">
      <alignment horizontal="right" vertical="top"/>
    </xf>
    <xf numFmtId="0" fontId="37" fillId="21" borderId="101" xfId="0" applyFont="1" applyFill="1" applyBorder="1" applyAlignment="1" applyProtection="1">
      <alignment horizontal="left" wrapText="1"/>
      <protection locked="0"/>
    </xf>
    <xf numFmtId="0" fontId="37" fillId="21" borderId="102" xfId="0" applyFont="1" applyFill="1" applyBorder="1" applyAlignment="1" applyProtection="1">
      <alignment horizontal="left" wrapText="1"/>
      <protection locked="0"/>
    </xf>
    <xf numFmtId="0" fontId="62" fillId="0" borderId="0" xfId="0" applyFont="1" applyAlignment="1" applyProtection="1">
      <alignment horizontal="left" indent="1"/>
      <protection hidden="1"/>
    </xf>
    <xf numFmtId="0" fontId="63" fillId="0" borderId="0" xfId="0" applyFont="1" applyAlignment="1" applyProtection="1">
      <alignment horizontal="right"/>
      <protection hidden="1"/>
    </xf>
    <xf numFmtId="0" fontId="55" fillId="0" borderId="0" xfId="0" applyFont="1" applyAlignment="1" applyProtection="1">
      <alignment horizontal="left" vertical="center"/>
      <protection hidden="1"/>
    </xf>
    <xf numFmtId="0" fontId="37" fillId="0" borderId="0" xfId="0" applyFont="1" applyAlignment="1" applyProtection="1">
      <alignment horizontal="right" vertical="center" indent="1"/>
      <protection hidden="1"/>
    </xf>
    <xf numFmtId="0" fontId="37" fillId="0" borderId="0" xfId="0" applyFont="1" applyAlignment="1" applyProtection="1">
      <alignment vertical="center" wrapText="1"/>
      <protection hidden="1"/>
    </xf>
    <xf numFmtId="0" fontId="52" fillId="0" borderId="0" xfId="0" applyFont="1" applyAlignment="1" applyProtection="1">
      <alignment horizontal="left" vertical="center" wrapText="1"/>
      <protection hidden="1"/>
    </xf>
    <xf numFmtId="0" fontId="52" fillId="0" borderId="0" xfId="0" applyFont="1" applyAlignment="1" applyProtection="1">
      <alignment vertical="center" wrapText="1"/>
      <protection hidden="1"/>
    </xf>
    <xf numFmtId="0" fontId="37" fillId="0" borderId="0" xfId="0" applyFont="1" applyAlignment="1" applyProtection="1">
      <alignment horizontal="left" vertical="center" indent="1"/>
      <protection hidden="1"/>
    </xf>
    <xf numFmtId="0" fontId="64" fillId="2" borderId="103" xfId="5" applyFont="1" applyFill="1" applyBorder="1" applyAlignment="1" applyProtection="1">
      <alignment vertical="center" wrapText="1"/>
      <protection hidden="1"/>
    </xf>
    <xf numFmtId="0" fontId="64" fillId="17" borderId="103" xfId="5" applyFont="1" applyFill="1" applyBorder="1" applyAlignment="1" applyProtection="1">
      <alignment horizontal="left" vertical="center"/>
      <protection hidden="1"/>
    </xf>
    <xf numFmtId="0" fontId="64" fillId="2" borderId="104" xfId="5" quotePrefix="1" applyFont="1" applyFill="1" applyBorder="1" applyAlignment="1" applyProtection="1">
      <alignment vertical="center" wrapText="1"/>
      <protection hidden="1"/>
    </xf>
    <xf numFmtId="0" fontId="64" fillId="17" borderId="104" xfId="5" quotePrefix="1" applyFont="1" applyFill="1" applyBorder="1" applyAlignment="1" applyProtection="1">
      <alignment horizontal="left" vertical="center"/>
      <protection hidden="1"/>
    </xf>
    <xf numFmtId="0" fontId="64" fillId="2" borderId="104" xfId="5" applyFont="1" applyFill="1" applyBorder="1" applyAlignment="1" applyProtection="1">
      <alignment vertical="center"/>
      <protection hidden="1"/>
    </xf>
    <xf numFmtId="0" fontId="64" fillId="17" borderId="104" xfId="5" applyFont="1" applyFill="1" applyBorder="1" applyAlignment="1" applyProtection="1">
      <alignment horizontal="left" vertical="center"/>
      <protection hidden="1"/>
    </xf>
    <xf numFmtId="0" fontId="53" fillId="2" borderId="104" xfId="7" quotePrefix="1" applyFont="1" applyFill="1" applyBorder="1" applyAlignment="1" applyProtection="1">
      <alignment vertical="center" wrapText="1"/>
      <protection hidden="1"/>
    </xf>
    <xf numFmtId="0" fontId="64" fillId="9" borderId="104" xfId="5" applyFont="1" applyFill="1" applyBorder="1" applyAlignment="1" applyProtection="1">
      <alignment vertical="center"/>
      <protection hidden="1"/>
    </xf>
    <xf numFmtId="0" fontId="64" fillId="9" borderId="104" xfId="5" applyFont="1" applyFill="1" applyBorder="1" applyAlignment="1" applyProtection="1">
      <alignment horizontal="left" vertical="center"/>
      <protection hidden="1"/>
    </xf>
    <xf numFmtId="0" fontId="64" fillId="24" borderId="104" xfId="5" applyFont="1" applyFill="1" applyBorder="1" applyAlignment="1" applyProtection="1">
      <alignment vertical="center" wrapText="1"/>
      <protection hidden="1"/>
    </xf>
    <xf numFmtId="0" fontId="64" fillId="24" borderId="104" xfId="5" applyFont="1" applyFill="1" applyBorder="1" applyAlignment="1" applyProtection="1">
      <alignment horizontal="left" vertical="center"/>
      <protection hidden="1"/>
    </xf>
    <xf numFmtId="0" fontId="66" fillId="0" borderId="0" xfId="0" applyFont="1" applyProtection="1">
      <protection hidden="1"/>
    </xf>
    <xf numFmtId="0" fontId="53" fillId="0" borderId="0" xfId="7" quotePrefix="1" applyFont="1" applyProtection="1">
      <protection hidden="1"/>
    </xf>
    <xf numFmtId="0" fontId="53" fillId="0" borderId="0" xfId="7" applyFont="1" applyProtection="1">
      <protection hidden="1"/>
    </xf>
    <xf numFmtId="0" fontId="37" fillId="0" borderId="0" xfId="0" applyFont="1" applyAlignment="1" applyProtection="1">
      <alignment horizontal="center"/>
      <protection hidden="1"/>
    </xf>
    <xf numFmtId="0" fontId="15" fillId="0" borderId="0" xfId="0" applyFont="1" applyProtection="1">
      <protection hidden="1"/>
    </xf>
    <xf numFmtId="0" fontId="37" fillId="22" borderId="0" xfId="0" applyFont="1" applyFill="1" applyAlignment="1" applyProtection="1">
      <alignment vertical="center"/>
      <protection hidden="1"/>
    </xf>
    <xf numFmtId="0" fontId="59" fillId="22" borderId="0" xfId="0" applyFont="1" applyFill="1" applyAlignment="1" applyProtection="1">
      <alignment horizontal="left" vertical="center"/>
      <protection hidden="1"/>
    </xf>
    <xf numFmtId="0" fontId="61" fillId="22" borderId="0" xfId="0" applyFont="1" applyFill="1" applyAlignment="1" applyProtection="1">
      <alignment horizontal="right" vertical="center"/>
      <protection hidden="1"/>
    </xf>
    <xf numFmtId="0" fontId="58" fillId="0" borderId="0" xfId="0" applyFont="1" applyAlignment="1" applyProtection="1">
      <alignment horizontal="left"/>
      <protection hidden="1"/>
    </xf>
    <xf numFmtId="0" fontId="52" fillId="21" borderId="92" xfId="0" applyFont="1" applyFill="1" applyBorder="1" applyAlignment="1" applyProtection="1">
      <alignment horizontal="center" vertical="top" wrapText="1"/>
      <protection locked="0"/>
    </xf>
    <xf numFmtId="0" fontId="54" fillId="0" borderId="0" xfId="0" applyFont="1" applyAlignment="1" applyProtection="1">
      <alignment vertical="top" wrapText="1"/>
      <protection hidden="1"/>
    </xf>
    <xf numFmtId="0" fontId="16" fillId="0" borderId="0" xfId="0" applyFont="1" applyAlignment="1" applyProtection="1">
      <alignment horizontal="left" vertical="top" indent="1"/>
      <protection hidden="1"/>
    </xf>
    <xf numFmtId="0" fontId="64" fillId="17" borderId="0" xfId="5" quotePrefix="1" applyFont="1" applyFill="1" applyBorder="1" applyAlignment="1" applyProtection="1">
      <alignment horizontal="left" vertical="top" indent="1"/>
      <protection hidden="1"/>
    </xf>
    <xf numFmtId="0" fontId="64" fillId="17" borderId="0" xfId="5" applyFont="1" applyFill="1" applyBorder="1" applyAlignment="1" applyProtection="1">
      <alignment horizontal="left" vertical="top" indent="1"/>
      <protection hidden="1"/>
    </xf>
    <xf numFmtId="0" fontId="64" fillId="9" borderId="0" xfId="5" applyFont="1" applyFill="1" applyBorder="1" applyAlignment="1" applyProtection="1">
      <alignment horizontal="left" vertical="top" indent="1"/>
      <protection hidden="1"/>
    </xf>
    <xf numFmtId="0" fontId="64" fillId="24" borderId="0" xfId="5" applyFont="1" applyFill="1" applyBorder="1" applyAlignment="1" applyProtection="1">
      <alignment horizontal="left" vertical="top" indent="1"/>
      <protection hidden="1"/>
    </xf>
    <xf numFmtId="0" fontId="52" fillId="2" borderId="0" xfId="0" applyFont="1" applyFill="1" applyAlignment="1" applyProtection="1">
      <alignment vertical="center"/>
      <protection hidden="1"/>
    </xf>
    <xf numFmtId="0" fontId="52" fillId="0" borderId="0" xfId="0" applyFont="1" applyAlignment="1" applyProtection="1">
      <alignment vertical="top" wrapText="1"/>
      <protection hidden="1"/>
    </xf>
    <xf numFmtId="0" fontId="52" fillId="0" borderId="0" xfId="0" applyFont="1" applyAlignment="1" applyProtection="1">
      <alignment horizontal="center"/>
      <protection hidden="1"/>
    </xf>
    <xf numFmtId="49" fontId="52" fillId="0" borderId="0" xfId="2" applyNumberFormat="1" applyFont="1" applyAlignment="1" applyProtection="1">
      <alignment horizontal="left" vertical="top" wrapText="1"/>
      <protection hidden="1"/>
    </xf>
    <xf numFmtId="2" fontId="52" fillId="0" borderId="0" xfId="0" applyNumberFormat="1" applyFont="1" applyAlignment="1" applyProtection="1">
      <alignment horizontal="left" vertical="top"/>
      <protection hidden="1"/>
    </xf>
    <xf numFmtId="0" fontId="52" fillId="21" borderId="97" xfId="0" applyFont="1" applyFill="1" applyBorder="1" applyAlignment="1" applyProtection="1">
      <alignment horizontal="left" wrapText="1"/>
      <protection locked="0"/>
    </xf>
    <xf numFmtId="0" fontId="52" fillId="21" borderId="99" xfId="0" applyFont="1" applyFill="1" applyBorder="1" applyAlignment="1" applyProtection="1">
      <alignment horizontal="left" wrapText="1"/>
      <protection locked="0"/>
    </xf>
    <xf numFmtId="0" fontId="52" fillId="21" borderId="96" xfId="0" applyFont="1" applyFill="1" applyBorder="1" applyAlignment="1" applyProtection="1">
      <alignment horizontal="left" vertical="top" wrapText="1"/>
      <protection locked="0"/>
    </xf>
    <xf numFmtId="0" fontId="52" fillId="21" borderId="98" xfId="0" applyFont="1" applyFill="1" applyBorder="1" applyAlignment="1" applyProtection="1">
      <alignment horizontal="left" vertical="top" wrapText="1"/>
      <protection locked="0"/>
    </xf>
    <xf numFmtId="0" fontId="52" fillId="21" borderId="100" xfId="0" applyFont="1" applyFill="1" applyBorder="1" applyAlignment="1" applyProtection="1">
      <alignment horizontal="left" vertical="top" wrapText="1"/>
      <protection locked="0"/>
    </xf>
    <xf numFmtId="0" fontId="66" fillId="22" borderId="0" xfId="0" applyFont="1" applyFill="1" applyAlignment="1" applyProtection="1">
      <alignment vertical="center"/>
      <protection hidden="1"/>
    </xf>
    <xf numFmtId="3" fontId="37" fillId="21" borderId="101" xfId="8" applyNumberFormat="1" applyFont="1" applyFill="1" applyBorder="1" applyAlignment="1" applyProtection="1">
      <alignment horizontal="left" wrapText="1"/>
      <protection locked="0"/>
    </xf>
    <xf numFmtId="0" fontId="8" fillId="0" borderId="80" xfId="0" applyFont="1" applyBorder="1" applyAlignment="1">
      <alignment horizontal="right" vertical="center"/>
    </xf>
    <xf numFmtId="2" fontId="58" fillId="0" borderId="0" xfId="0" applyNumberFormat="1" applyFont="1" applyAlignment="1">
      <alignment horizontal="left"/>
    </xf>
    <xf numFmtId="0" fontId="37" fillId="0" borderId="0" xfId="0" applyFont="1" applyProtection="1">
      <protection locked="0"/>
    </xf>
    <xf numFmtId="49" fontId="51" fillId="0" borderId="0" xfId="0" applyNumberFormat="1" applyFont="1" applyProtection="1">
      <protection hidden="1"/>
    </xf>
    <xf numFmtId="0" fontId="56" fillId="0" borderId="0" xfId="0" applyFont="1" applyProtection="1">
      <protection hidden="1"/>
    </xf>
    <xf numFmtId="0" fontId="59" fillId="2" borderId="0" xfId="0" applyFont="1" applyFill="1" applyAlignment="1" applyProtection="1">
      <alignment horizontal="left" vertical="center"/>
      <protection hidden="1"/>
    </xf>
    <xf numFmtId="0" fontId="55" fillId="0" borderId="0" xfId="2" applyFont="1" applyAlignment="1" applyProtection="1">
      <alignment vertical="top"/>
      <protection hidden="1"/>
    </xf>
    <xf numFmtId="0" fontId="37" fillId="0" borderId="0" xfId="2" applyFont="1" applyAlignment="1" applyProtection="1">
      <alignment vertical="center"/>
      <protection hidden="1"/>
    </xf>
    <xf numFmtId="2" fontId="37" fillId="0" borderId="0" xfId="2" applyNumberFormat="1" applyFont="1" applyAlignment="1" applyProtection="1">
      <alignment horizontal="center" vertical="center"/>
      <protection hidden="1"/>
    </xf>
    <xf numFmtId="0" fontId="43" fillId="19" borderId="0" xfId="0" applyFont="1" applyFill="1" applyProtection="1">
      <protection hidden="1"/>
    </xf>
    <xf numFmtId="0" fontId="52" fillId="19" borderId="0" xfId="0" applyFont="1" applyFill="1" applyProtection="1">
      <protection hidden="1"/>
    </xf>
    <xf numFmtId="0" fontId="37" fillId="19" borderId="0" xfId="0" applyFont="1" applyFill="1" applyProtection="1">
      <protection hidden="1"/>
    </xf>
    <xf numFmtId="0" fontId="51" fillId="19" borderId="0" xfId="0" applyFont="1" applyFill="1" applyProtection="1">
      <protection hidden="1"/>
    </xf>
    <xf numFmtId="0" fontId="37" fillId="19" borderId="0" xfId="0" applyFont="1" applyFill="1" applyProtection="1">
      <protection hidden="1"/>
      <extLst>
        <ext xmlns:xfpb="http://schemas.microsoft.com/office/spreadsheetml/2022/featurepropertybag" uri="{C7286773-470A-42A8-94C5-96B5CB345126}">
          <xfpb:xfComplement i="0"/>
        </ext>
      </extLst>
    </xf>
    <xf numFmtId="0" fontId="52" fillId="19" borderId="0" xfId="0" applyFont="1" applyFill="1" applyAlignment="1" applyProtection="1">
      <alignment horizontal="center"/>
      <protection hidden="1"/>
    </xf>
    <xf numFmtId="49" fontId="52" fillId="19" borderId="0" xfId="2" applyNumberFormat="1" applyFont="1" applyFill="1" applyAlignment="1" applyProtection="1">
      <alignment horizontal="left" vertical="top" wrapText="1"/>
      <protection hidden="1"/>
    </xf>
    <xf numFmtId="0" fontId="59" fillId="9" borderId="0" xfId="0" applyFont="1" applyFill="1" applyAlignment="1">
      <alignment horizontal="left" vertical="center" indent="1"/>
    </xf>
    <xf numFmtId="0" fontId="59" fillId="24" borderId="0" xfId="0" applyFont="1" applyFill="1" applyAlignment="1">
      <alignment horizontal="left" vertical="center" indent="1"/>
    </xf>
    <xf numFmtId="0" fontId="59" fillId="24" borderId="0" xfId="0" applyFont="1" applyFill="1" applyAlignment="1">
      <alignment horizontal="left" vertical="center"/>
    </xf>
    <xf numFmtId="0" fontId="8" fillId="24" borderId="0" xfId="0" applyFont="1" applyFill="1" applyAlignment="1">
      <alignment horizontal="left" vertical="center" indent="1"/>
    </xf>
    <xf numFmtId="0" fontId="52" fillId="0" borderId="0" xfId="0" applyFont="1" applyAlignment="1" applyProtection="1">
      <alignment horizontal="right" vertical="center" wrapText="1" indent="1"/>
      <protection hidden="1"/>
    </xf>
    <xf numFmtId="0" fontId="51" fillId="0" borderId="0" xfId="0" applyFont="1" applyAlignment="1" applyProtection="1">
      <alignment vertical="top" wrapText="1"/>
      <protection hidden="1"/>
    </xf>
    <xf numFmtId="0" fontId="51" fillId="0" borderId="0" xfId="0" applyFont="1" applyAlignment="1" applyProtection="1">
      <alignment horizontal="left" vertical="top" wrapText="1"/>
      <protection hidden="1"/>
    </xf>
    <xf numFmtId="0" fontId="58" fillId="0" borderId="0" xfId="0" applyFont="1" applyAlignment="1" applyProtection="1">
      <alignment horizontal="left" vertical="top" indent="1"/>
      <protection hidden="1"/>
    </xf>
    <xf numFmtId="0" fontId="21" fillId="0" borderId="0" xfId="0" applyFont="1" applyAlignment="1">
      <alignment vertical="top" wrapText="1"/>
    </xf>
    <xf numFmtId="0" fontId="0" fillId="0" borderId="0" xfId="0" applyAlignment="1">
      <alignment horizontal="justify" vertical="center"/>
    </xf>
    <xf numFmtId="0" fontId="0" fillId="0" borderId="0" xfId="2" applyFont="1" applyAlignment="1">
      <alignment vertical="top" wrapText="1"/>
    </xf>
    <xf numFmtId="0" fontId="21" fillId="0" borderId="0" xfId="0" applyFont="1" applyAlignment="1">
      <alignment horizontal="left" vertical="top" wrapText="1"/>
    </xf>
    <xf numFmtId="0" fontId="8" fillId="0" borderId="0" xfId="0" applyFont="1" applyAlignment="1" applyProtection="1">
      <alignment horizontal="left" vertical="top" wrapText="1"/>
      <protection hidden="1"/>
    </xf>
    <xf numFmtId="3" fontId="52" fillId="0" borderId="0" xfId="0" applyNumberFormat="1" applyFont="1" applyAlignment="1" applyProtection="1">
      <alignment horizontal="left" vertical="top"/>
      <protection locked="0"/>
    </xf>
    <xf numFmtId="0" fontId="37" fillId="0" borderId="0" xfId="0" applyFont="1" applyAlignment="1" applyProtection="1">
      <alignment horizontal="left" vertical="top" wrapText="1"/>
      <protection locked="0"/>
    </xf>
    <xf numFmtId="0" fontId="37" fillId="0" borderId="0" xfId="0" applyFont="1" applyAlignment="1">
      <alignment horizontal="left"/>
    </xf>
    <xf numFmtId="0" fontId="8" fillId="0" borderId="0" xfId="0" applyFont="1" applyAlignment="1" applyProtection="1">
      <alignment vertical="top" wrapText="1"/>
      <protection hidden="1"/>
    </xf>
    <xf numFmtId="0" fontId="0" fillId="0" borderId="0" xfId="2" applyFont="1" applyAlignment="1">
      <alignment horizontal="left" vertical="top" wrapText="1"/>
    </xf>
    <xf numFmtId="0" fontId="3" fillId="0" borderId="0" xfId="2" applyFont="1" applyAlignment="1">
      <alignment horizontal="left" vertical="top" wrapText="1"/>
    </xf>
    <xf numFmtId="0" fontId="1" fillId="0" borderId="0" xfId="2" applyFont="1" applyAlignment="1">
      <alignment horizontal="left" vertical="top" wrapText="1"/>
    </xf>
    <xf numFmtId="0" fontId="68" fillId="0" borderId="0" xfId="0" applyFont="1" applyProtection="1">
      <protection hidden="1"/>
    </xf>
    <xf numFmtId="0" fontId="67" fillId="0" borderId="0" xfId="7" applyFont="1" applyProtection="1">
      <protection hidden="1"/>
    </xf>
    <xf numFmtId="0" fontId="15" fillId="4" borderId="15" xfId="0" applyFont="1" applyFill="1" applyBorder="1" applyAlignment="1" applyProtection="1">
      <alignment horizontal="left" indent="1"/>
      <protection hidden="1"/>
    </xf>
    <xf numFmtId="0" fontId="37" fillId="4" borderId="16" xfId="0" applyFont="1" applyFill="1" applyBorder="1" applyProtection="1">
      <protection hidden="1"/>
    </xf>
    <xf numFmtId="0" fontId="37" fillId="4" borderId="17" xfId="0" applyFont="1" applyFill="1" applyBorder="1" applyProtection="1">
      <protection hidden="1"/>
    </xf>
    <xf numFmtId="0" fontId="15" fillId="4" borderId="25" xfId="0" applyFont="1" applyFill="1" applyBorder="1" applyAlignment="1" applyProtection="1">
      <alignment horizontal="left" indent="1"/>
      <protection hidden="1"/>
    </xf>
    <xf numFmtId="0" fontId="37" fillId="4" borderId="0" xfId="0" applyFont="1" applyFill="1" applyProtection="1">
      <protection hidden="1"/>
    </xf>
    <xf numFmtId="0" fontId="37" fillId="4" borderId="6" xfId="0" applyFont="1" applyFill="1" applyBorder="1" applyProtection="1">
      <protection hidden="1"/>
    </xf>
    <xf numFmtId="0" fontId="16" fillId="4" borderId="25" xfId="0" applyFont="1" applyFill="1" applyBorder="1" applyAlignment="1" applyProtection="1">
      <alignment horizontal="left" indent="1"/>
      <protection hidden="1"/>
    </xf>
    <xf numFmtId="0" fontId="67" fillId="4" borderId="25" xfId="7" applyFont="1" applyFill="1" applyBorder="1" applyAlignment="1" applyProtection="1">
      <alignment horizontal="left" indent="1"/>
      <protection hidden="1"/>
    </xf>
    <xf numFmtId="0" fontId="67" fillId="4" borderId="0" xfId="7" applyFont="1" applyFill="1" applyBorder="1" applyAlignment="1" applyProtection="1">
      <alignment wrapText="1"/>
      <protection hidden="1"/>
    </xf>
    <xf numFmtId="0" fontId="67" fillId="4" borderId="6" xfId="7" applyFont="1" applyFill="1" applyBorder="1" applyAlignment="1" applyProtection="1">
      <alignment wrapText="1"/>
      <protection hidden="1"/>
    </xf>
    <xf numFmtId="0" fontId="53" fillId="4" borderId="25" xfId="7" applyFont="1" applyFill="1" applyBorder="1" applyAlignment="1" applyProtection="1">
      <alignment horizontal="left" indent="1"/>
      <protection hidden="1"/>
    </xf>
    <xf numFmtId="0" fontId="37" fillId="4" borderId="20" xfId="0" applyFont="1" applyFill="1" applyBorder="1" applyProtection="1">
      <protection hidden="1"/>
    </xf>
    <xf numFmtId="0" fontId="37" fillId="4" borderId="3" xfId="0" applyFont="1" applyFill="1" applyBorder="1" applyProtection="1">
      <protection hidden="1"/>
    </xf>
    <xf numFmtId="0" fontId="37" fillId="4" borderId="21" xfId="0" applyFont="1" applyFill="1" applyBorder="1" applyProtection="1">
      <protection hidden="1"/>
    </xf>
    <xf numFmtId="0" fontId="66" fillId="22" borderId="0" xfId="0" applyFont="1" applyFill="1" applyProtection="1">
      <protection hidden="1"/>
    </xf>
    <xf numFmtId="0" fontId="37" fillId="21" borderId="0" xfId="0" applyFont="1" applyFill="1" applyProtection="1">
      <protection hidden="1"/>
    </xf>
    <xf numFmtId="0" fontId="37" fillId="0" borderId="93" xfId="0" applyFont="1" applyBorder="1" applyAlignment="1" applyProtection="1">
      <alignment horizontal="left" vertical="top" wrapText="1"/>
      <protection locked="0"/>
    </xf>
    <xf numFmtId="0" fontId="37" fillId="0" borderId="94" xfId="0" applyFont="1" applyBorder="1" applyAlignment="1" applyProtection="1">
      <alignment horizontal="left" vertical="top" wrapText="1"/>
      <protection locked="0"/>
    </xf>
    <xf numFmtId="0" fontId="52" fillId="0" borderId="0" xfId="0" applyFont="1" applyAlignment="1" applyProtection="1">
      <alignment horizontal="left" vertical="center"/>
      <protection hidden="1"/>
    </xf>
    <xf numFmtId="0" fontId="37" fillId="0" borderId="0" xfId="0" applyFont="1" applyAlignment="1" applyProtection="1">
      <alignment horizontal="right" vertical="center"/>
      <protection hidden="1"/>
    </xf>
    <xf numFmtId="0" fontId="37" fillId="0" borderId="0" xfId="0" applyFont="1" applyAlignment="1" applyProtection="1">
      <alignment horizontal="left" vertical="center"/>
      <protection hidden="1"/>
    </xf>
    <xf numFmtId="0" fontId="69" fillId="0" borderId="0" xfId="0" applyFont="1" applyAlignment="1" applyProtection="1">
      <alignment horizontal="right" vertical="center" wrapText="1"/>
      <protection hidden="1"/>
    </xf>
    <xf numFmtId="0" fontId="37" fillId="21" borderId="0" xfId="0" applyFont="1" applyFill="1">
      <extLst>
        <ext xmlns:xfpb="http://schemas.microsoft.com/office/spreadsheetml/2022/featurepropertybag" uri="{C7286773-470A-42A8-94C5-96B5CB345126}">
          <xfpb:xfComplement i="0"/>
        </ext>
      </extLst>
    </xf>
    <xf numFmtId="0" fontId="43" fillId="21" borderId="0" xfId="0" applyFont="1" applyFill="1" applyProtection="1">
      <protection hidden="1"/>
    </xf>
    <xf numFmtId="0" fontId="52" fillId="21" borderId="0" xfId="0" applyFont="1" applyFill="1" applyProtection="1">
      <protection hidden="1"/>
    </xf>
    <xf numFmtId="0" fontId="37" fillId="21" borderId="0" xfId="0" applyFont="1" applyFill="1" applyProtection="1">
      <protection locked="0"/>
      <extLst>
        <ext xmlns:xfpb="http://schemas.microsoft.com/office/spreadsheetml/2022/featurepropertybag" uri="{C7286773-470A-42A8-94C5-96B5CB345126}">
          <xfpb:xfComplement i="0"/>
        </ext>
      </extLst>
    </xf>
    <xf numFmtId="0" fontId="37" fillId="21" borderId="0" xfId="2" applyFont="1" applyFill="1" applyAlignment="1" applyProtection="1">
      <alignment vertical="center"/>
      <protection locked="0"/>
      <extLst>
        <ext xmlns:xfpb="http://schemas.microsoft.com/office/spreadsheetml/2022/featurepropertybag" uri="{C7286773-470A-42A8-94C5-96B5CB345126}">
          <xfpb:xfComplement i="0"/>
        </ext>
      </extLst>
    </xf>
    <xf numFmtId="9" fontId="16" fillId="21" borderId="0" xfId="2" applyNumberFormat="1" applyFont="1" applyFill="1" applyAlignment="1" applyProtection="1">
      <alignment horizontal="left" vertical="center"/>
      <protection hidden="1"/>
    </xf>
    <xf numFmtId="10" fontId="16" fillId="21" borderId="0" xfId="2" applyNumberFormat="1" applyFont="1" applyFill="1" applyAlignment="1" applyProtection="1">
      <alignment horizontal="left" vertical="center"/>
      <protection hidden="1"/>
    </xf>
    <xf numFmtId="0" fontId="55" fillId="0" borderId="0" xfId="0" applyFont="1" applyAlignment="1" applyProtection="1">
      <alignment horizontal="left" vertical="center" indent="1"/>
      <protection hidden="1"/>
    </xf>
    <xf numFmtId="0" fontId="0" fillId="21" borderId="103" xfId="0"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0" fillId="21" borderId="104" xfId="0"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3" fillId="21" borderId="0" xfId="0" applyFont="1" applyFill="1" applyAlignment="1" applyProtection="1">
      <alignment horizontal="left"/>
      <protection locked="0"/>
    </xf>
    <xf numFmtId="0" fontId="0" fillId="21" borderId="0" xfId="0" applyFill="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0" fillId="21" borderId="105" xfId="0"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4" fontId="0" fillId="21" borderId="103" xfId="0" applyNumberFormat="1" applyFill="1" applyBorder="1" applyAlignment="1" applyProtection="1">
      <alignment horizontal="right" vertical="top" wrapText="1" indent="1"/>
      <protection locked="0"/>
    </xf>
    <xf numFmtId="4" fontId="0" fillId="21" borderId="104" xfId="0" applyNumberFormat="1" applyFill="1" applyBorder="1" applyAlignment="1" applyProtection="1">
      <alignment horizontal="right" vertical="top" wrapText="1" indent="1"/>
      <protection locked="0"/>
    </xf>
    <xf numFmtId="3" fontId="0" fillId="21" borderId="104" xfId="0" applyNumberFormat="1" applyFill="1" applyBorder="1" applyAlignment="1" applyProtection="1">
      <alignment horizontal="right" vertical="top" wrapText="1" indent="1"/>
      <protection locked="0"/>
    </xf>
    <xf numFmtId="1" fontId="0" fillId="21" borderId="105" xfId="0" applyNumberFormat="1" applyFill="1" applyBorder="1" applyAlignment="1" applyProtection="1">
      <alignment horizontal="right" vertical="top" wrapText="1" indent="1"/>
      <protection locked="0"/>
    </xf>
    <xf numFmtId="4" fontId="8" fillId="21" borderId="82" xfId="0" applyNumberFormat="1" applyFont="1" applyFill="1" applyBorder="1" applyAlignment="1" applyProtection="1">
      <alignment horizontal="right" vertical="center" indent="1"/>
      <protection locked="0"/>
    </xf>
    <xf numFmtId="4" fontId="8" fillId="21" borderId="80" xfId="0" applyNumberFormat="1" applyFont="1" applyFill="1" applyBorder="1" applyAlignment="1" applyProtection="1">
      <alignment horizontal="right" vertical="center" indent="1"/>
      <protection locked="0"/>
    </xf>
    <xf numFmtId="3" fontId="8" fillId="21" borderId="0" xfId="0" applyNumberFormat="1" applyFont="1" applyFill="1" applyAlignment="1" applyProtection="1">
      <alignment horizontal="right" vertical="center" indent="1"/>
      <protection locked="0"/>
    </xf>
    <xf numFmtId="3" fontId="8" fillId="21" borderId="80" xfId="0" applyNumberFormat="1" applyFont="1" applyFill="1" applyBorder="1" applyAlignment="1" applyProtection="1">
      <alignment horizontal="right" vertical="center" indent="1"/>
      <protection locked="0"/>
    </xf>
    <xf numFmtId="3" fontId="8" fillId="21" borderId="83" xfId="0" applyNumberFormat="1" applyFont="1" applyFill="1" applyBorder="1" applyAlignment="1" applyProtection="1">
      <alignment horizontal="right" vertical="center" indent="1"/>
      <protection locked="0"/>
    </xf>
    <xf numFmtId="3" fontId="8" fillId="21" borderId="84" xfId="0" applyNumberFormat="1" applyFont="1" applyFill="1" applyBorder="1" applyAlignment="1" applyProtection="1">
      <alignment horizontal="right" vertical="center" indent="1"/>
      <protection locked="0"/>
    </xf>
    <xf numFmtId="0" fontId="46" fillId="0" borderId="0" xfId="0" applyFont="1" applyAlignment="1">
      <alignment vertical="center"/>
    </xf>
    <xf numFmtId="0" fontId="70" fillId="0" borderId="0" xfId="0" applyFont="1" applyAlignment="1">
      <alignment vertical="top" wrapText="1"/>
    </xf>
    <xf numFmtId="0" fontId="71" fillId="0" borderId="0" xfId="0" applyFont="1" applyAlignment="1">
      <alignment vertical="center" wrapText="1"/>
    </xf>
    <xf numFmtId="0" fontId="70" fillId="0" borderId="0" xfId="2" applyFont="1"/>
    <xf numFmtId="0" fontId="70" fillId="0" borderId="0" xfId="0" applyFont="1" applyAlignment="1">
      <alignment vertical="center"/>
    </xf>
    <xf numFmtId="0" fontId="0" fillId="22" borderId="0" xfId="2" applyFont="1" applyFill="1" applyAlignment="1">
      <alignment horizontal="left" indent="1"/>
    </xf>
    <xf numFmtId="0" fontId="52" fillId="0" borderId="0" xfId="0" applyFont="1" applyAlignment="1" applyProtection="1">
      <alignment horizontal="left" vertical="top" wrapText="1" indent="1"/>
      <protection hidden="1"/>
    </xf>
    <xf numFmtId="0" fontId="52" fillId="0" borderId="0" xfId="0" applyFont="1" applyAlignment="1" applyProtection="1">
      <alignment horizontal="left" vertical="top" wrapText="1"/>
      <protection hidden="1"/>
    </xf>
    <xf numFmtId="0" fontId="43" fillId="0" borderId="0" xfId="0" applyFont="1" applyAlignment="1" applyProtection="1">
      <alignment vertical="top"/>
      <protection hidden="1"/>
    </xf>
    <xf numFmtId="0" fontId="0" fillId="0" borderId="51" xfId="0" applyBorder="1" applyAlignment="1">
      <alignment horizontal="left" vertical="top"/>
    </xf>
    <xf numFmtId="4" fontId="0" fillId="26" borderId="0" xfId="0" applyNumberFormat="1" applyFill="1" applyAlignment="1">
      <alignment horizontal="right" indent="1"/>
    </xf>
    <xf numFmtId="0" fontId="4" fillId="0" borderId="53" xfId="0" applyFont="1" applyBorder="1" applyAlignment="1">
      <alignment horizontal="right" vertical="center" indent="1"/>
    </xf>
    <xf numFmtId="0" fontId="4" fillId="0" borderId="51" xfId="0" applyFont="1" applyBorder="1" applyAlignment="1">
      <alignment horizontal="right" vertical="center" indent="1"/>
    </xf>
    <xf numFmtId="0" fontId="0" fillId="0" borderId="76" xfId="0" applyBorder="1" applyAlignment="1">
      <alignment vertical="center"/>
    </xf>
    <xf numFmtId="4" fontId="3" fillId="26" borderId="75" xfId="0" applyNumberFormat="1" applyFont="1" applyFill="1" applyBorder="1" applyAlignment="1">
      <alignment horizontal="right" vertical="center" indent="1"/>
    </xf>
    <xf numFmtId="0" fontId="3" fillId="0" borderId="74" xfId="0" quotePrefix="1" applyFont="1" applyBorder="1" applyAlignment="1">
      <alignment horizontal="right" vertical="center" wrapText="1"/>
    </xf>
    <xf numFmtId="2" fontId="3" fillId="26" borderId="75" xfId="0" applyNumberFormat="1" applyFont="1" applyFill="1" applyBorder="1" applyAlignment="1">
      <alignment horizontal="right" vertical="center" indent="1"/>
    </xf>
    <xf numFmtId="0" fontId="72" fillId="0" borderId="0" xfId="0" applyFont="1" applyAlignment="1">
      <alignment horizontal="left" indent="1"/>
    </xf>
    <xf numFmtId="0" fontId="72" fillId="0" borderId="0" xfId="0" applyFont="1" applyAlignment="1">
      <alignment vertical="center"/>
    </xf>
    <xf numFmtId="0" fontId="72" fillId="0" borderId="0" xfId="0" applyFont="1" applyAlignment="1">
      <alignment horizontal="left"/>
    </xf>
    <xf numFmtId="0" fontId="72" fillId="0" borderId="0" xfId="2" applyFont="1"/>
    <xf numFmtId="0" fontId="72" fillId="0" borderId="0" xfId="2" quotePrefix="1" applyFont="1"/>
    <xf numFmtId="0" fontId="72" fillId="0" borderId="0" xfId="2" applyFont="1" applyAlignment="1">
      <alignment horizontal="left" indent="1"/>
    </xf>
    <xf numFmtId="0" fontId="72" fillId="0" borderId="0" xfId="2" applyFont="1" applyAlignment="1">
      <alignment horizontal="left"/>
    </xf>
    <xf numFmtId="0" fontId="72" fillId="0" borderId="0" xfId="0" applyFont="1" applyAlignment="1">
      <alignment horizontal="left" wrapText="1" indent="1"/>
    </xf>
    <xf numFmtId="0" fontId="72" fillId="0" borderId="0" xfId="2" applyFont="1" applyAlignment="1">
      <alignment wrapText="1"/>
    </xf>
    <xf numFmtId="0" fontId="72" fillId="0" borderId="0" xfId="0" applyFont="1" applyAlignment="1">
      <alignment horizontal="left" vertical="center" indent="1"/>
    </xf>
    <xf numFmtId="0" fontId="4" fillId="0" borderId="75" xfId="0" applyFont="1" applyBorder="1" applyAlignment="1">
      <alignment horizontal="right" vertical="center" indent="1"/>
    </xf>
    <xf numFmtId="0" fontId="7" fillId="0" borderId="75" xfId="0" applyFont="1" applyBorder="1"/>
    <xf numFmtId="0" fontId="0" fillId="13" borderId="0" xfId="0" applyFill="1" applyAlignment="1">
      <alignment vertical="center" wrapText="1"/>
    </xf>
    <xf numFmtId="0" fontId="0" fillId="27" borderId="0" xfId="0" applyFill="1"/>
    <xf numFmtId="2" fontId="8" fillId="28" borderId="2" xfId="0" applyNumberFormat="1" applyFont="1" applyFill="1" applyBorder="1" applyAlignment="1">
      <alignment horizontal="center"/>
    </xf>
    <xf numFmtId="14" fontId="0" fillId="6" borderId="2" xfId="0" applyNumberFormat="1" applyFill="1" applyBorder="1"/>
    <xf numFmtId="3" fontId="0" fillId="6" borderId="2" xfId="0" applyNumberFormat="1" applyFill="1" applyBorder="1"/>
    <xf numFmtId="2" fontId="0" fillId="6" borderId="2" xfId="0" applyNumberFormat="1" applyFill="1" applyBorder="1"/>
    <xf numFmtId="0" fontId="0" fillId="6" borderId="2" xfId="0" applyFill="1" applyBorder="1"/>
    <xf numFmtId="2" fontId="3" fillId="0" borderId="2" xfId="0" applyNumberFormat="1" applyFont="1" applyBorder="1"/>
    <xf numFmtId="0" fontId="1" fillId="13" borderId="0" xfId="9" applyFill="1"/>
    <xf numFmtId="0" fontId="0" fillId="0" borderId="5" xfId="0" applyBorder="1" applyAlignment="1">
      <alignment horizontal="right" indent="1"/>
    </xf>
    <xf numFmtId="0" fontId="44" fillId="0" borderId="0" xfId="0" applyFont="1" applyAlignment="1">
      <alignment horizontal="left" vertical="top"/>
    </xf>
    <xf numFmtId="3" fontId="8" fillId="21" borderId="81" xfId="0" applyNumberFormat="1" applyFont="1" applyFill="1" applyBorder="1" applyAlignment="1" applyProtection="1">
      <alignment horizontal="right" vertical="center" indent="1"/>
      <protection locked="0"/>
    </xf>
    <xf numFmtId="0" fontId="8" fillId="21" borderId="85" xfId="0" applyFont="1" applyFill="1" applyBorder="1" applyAlignment="1" applyProtection="1">
      <alignment horizontal="right" vertical="center" indent="1"/>
      <protection locked="0"/>
    </xf>
    <xf numFmtId="0" fontId="8" fillId="21" borderId="81" xfId="0" applyFont="1" applyFill="1" applyBorder="1" applyAlignment="1" applyProtection="1">
      <alignment horizontal="right" vertical="center" indent="1"/>
      <protection locked="0"/>
    </xf>
    <xf numFmtId="3" fontId="8" fillId="21" borderId="87" xfId="0" applyNumberFormat="1" applyFont="1" applyFill="1" applyBorder="1" applyAlignment="1" applyProtection="1">
      <alignment horizontal="right" vertical="center" indent="1"/>
      <protection locked="0"/>
    </xf>
    <xf numFmtId="3" fontId="8" fillId="21" borderId="82" xfId="0" applyNumberFormat="1" applyFont="1" applyFill="1" applyBorder="1" applyAlignment="1" applyProtection="1">
      <alignment horizontal="right" vertical="center" indent="1"/>
      <protection locked="0"/>
    </xf>
    <xf numFmtId="3" fontId="8" fillId="21" borderId="86" xfId="0" applyNumberFormat="1" applyFont="1" applyFill="1" applyBorder="1" applyAlignment="1" applyProtection="1">
      <alignment horizontal="right" vertical="center" indent="1"/>
      <protection locked="0"/>
    </xf>
    <xf numFmtId="171" fontId="8" fillId="21" borderId="80" xfId="0" applyNumberFormat="1" applyFont="1" applyFill="1" applyBorder="1" applyAlignment="1" applyProtection="1">
      <alignment horizontal="right" vertical="center" indent="1"/>
      <protection locked="0"/>
    </xf>
    <xf numFmtId="171" fontId="8" fillId="21" borderId="83" xfId="0" applyNumberFormat="1" applyFont="1" applyFill="1" applyBorder="1" applyAlignment="1" applyProtection="1">
      <alignment horizontal="right" vertical="center" indent="1"/>
      <protection locked="0"/>
    </xf>
    <xf numFmtId="171" fontId="8" fillId="21" borderId="84" xfId="0" applyNumberFormat="1" applyFont="1" applyFill="1" applyBorder="1" applyAlignment="1" applyProtection="1">
      <alignment horizontal="right" vertical="center" indent="1"/>
      <protection locked="0"/>
    </xf>
    <xf numFmtId="0" fontId="67" fillId="4" borderId="25" xfId="7" applyFont="1" applyFill="1" applyBorder="1" applyAlignment="1" applyProtection="1">
      <alignment horizontal="left" vertical="top" wrapText="1" indent="1"/>
      <protection hidden="1"/>
    </xf>
    <xf numFmtId="0" fontId="67" fillId="4" borderId="0" xfId="7" applyFont="1" applyFill="1" applyBorder="1" applyAlignment="1" applyProtection="1">
      <alignment horizontal="left" vertical="top" wrapText="1" indent="1"/>
      <protection hidden="1"/>
    </xf>
    <xf numFmtId="0" fontId="43" fillId="21" borderId="0" xfId="0" applyFont="1" applyFill="1" applyAlignment="1" applyProtection="1">
      <alignment horizontal="left" vertical="center" wrapText="1"/>
      <protection locked="0"/>
    </xf>
    <xf numFmtId="0" fontId="43" fillId="21" borderId="92" xfId="0" applyFont="1" applyFill="1" applyBorder="1" applyAlignment="1" applyProtection="1">
      <alignment horizontal="left" vertical="center" wrapText="1"/>
      <protection locked="0"/>
    </xf>
    <xf numFmtId="3" fontId="52" fillId="21" borderId="90" xfId="0" applyNumberFormat="1" applyFont="1" applyFill="1" applyBorder="1" applyAlignment="1" applyProtection="1">
      <alignment horizontal="left" vertical="top" wrapText="1"/>
      <protection locked="0"/>
    </xf>
    <xf numFmtId="3" fontId="52" fillId="21" borderId="91" xfId="0" applyNumberFormat="1" applyFont="1" applyFill="1" applyBorder="1" applyAlignment="1" applyProtection="1">
      <alignment horizontal="left" vertical="top" wrapText="1"/>
      <protection locked="0"/>
    </xf>
    <xf numFmtId="0" fontId="65" fillId="24" borderId="0" xfId="7" applyFont="1" applyFill="1" applyBorder="1" applyAlignment="1" applyProtection="1">
      <alignment horizontal="left" vertical="top" wrapText="1" indent="1"/>
      <protection hidden="1"/>
    </xf>
    <xf numFmtId="0" fontId="37" fillId="0" borderId="0" xfId="0" applyFont="1" applyAlignment="1" applyProtection="1">
      <alignment horizontal="left" wrapText="1"/>
      <protection hidden="1"/>
    </xf>
    <xf numFmtId="0" fontId="65" fillId="17" borderId="0" xfId="7" applyFont="1" applyFill="1" applyBorder="1" applyAlignment="1" applyProtection="1">
      <alignment horizontal="left" vertical="top" indent="1"/>
      <protection hidden="1"/>
    </xf>
    <xf numFmtId="0" fontId="65" fillId="9" borderId="0" xfId="7" applyFont="1" applyFill="1" applyBorder="1" applyAlignment="1" applyProtection="1">
      <alignment horizontal="left" vertical="top" indent="1"/>
      <protection hidden="1"/>
    </xf>
    <xf numFmtId="0" fontId="56" fillId="0" borderId="0" xfId="0" applyFont="1" applyAlignment="1" applyProtection="1">
      <alignment horizontal="left" vertical="top" wrapText="1"/>
      <protection hidden="1"/>
    </xf>
    <xf numFmtId="0" fontId="52" fillId="0" borderId="0" xfId="0" applyFont="1" applyAlignment="1" applyProtection="1">
      <alignment horizontal="right" vertical="top" wrapText="1" indent="1"/>
      <protection hidden="1"/>
    </xf>
    <xf numFmtId="0" fontId="56" fillId="0" borderId="0" xfId="0" applyFont="1" applyAlignment="1" applyProtection="1">
      <alignment horizontal="left" vertical="top" wrapText="1" indent="1"/>
      <protection hidden="1"/>
    </xf>
    <xf numFmtId="0" fontId="52" fillId="0" borderId="0" xfId="0" applyFont="1" applyAlignment="1" applyProtection="1">
      <alignment horizontal="left" vertical="top" wrapText="1" indent="1"/>
      <protection hidden="1"/>
    </xf>
    <xf numFmtId="0" fontId="43" fillId="0" borderId="0" xfId="0" applyFont="1" applyAlignment="1" applyProtection="1">
      <alignment horizontal="right" vertical="center" wrapText="1" indent="1"/>
      <protection hidden="1"/>
    </xf>
    <xf numFmtId="0" fontId="37" fillId="21" borderId="90" xfId="0" applyFont="1" applyFill="1" applyBorder="1" applyAlignment="1" applyProtection="1">
      <alignment horizontal="left" vertical="top" wrapText="1"/>
      <protection locked="0"/>
    </xf>
    <xf numFmtId="0" fontId="37" fillId="21" borderId="97" xfId="0" applyFont="1" applyFill="1" applyBorder="1" applyAlignment="1" applyProtection="1">
      <alignment horizontal="left" vertical="top" wrapText="1"/>
      <protection locked="0"/>
    </xf>
    <xf numFmtId="0" fontId="52" fillId="0" borderId="93" xfId="0" applyFont="1" applyBorder="1" applyAlignment="1" applyProtection="1">
      <alignment horizontal="left" vertical="center" wrapText="1" indent="1"/>
      <protection hidden="1"/>
    </xf>
    <xf numFmtId="0" fontId="52" fillId="0" borderId="0" xfId="0" applyFont="1" applyAlignment="1" applyProtection="1">
      <alignment horizontal="left" vertical="center" wrapText="1" indent="1"/>
      <protection hidden="1"/>
    </xf>
    <xf numFmtId="0" fontId="37" fillId="21" borderId="91" xfId="0" applyFont="1" applyFill="1" applyBorder="1" applyAlignment="1" applyProtection="1">
      <alignment horizontal="left" vertical="top" wrapText="1"/>
      <protection locked="0"/>
    </xf>
    <xf numFmtId="0" fontId="37" fillId="21" borderId="99" xfId="0" applyFont="1" applyFill="1" applyBorder="1" applyAlignment="1" applyProtection="1">
      <alignment horizontal="left" vertical="top" wrapText="1"/>
      <protection locked="0"/>
    </xf>
    <xf numFmtId="0" fontId="56" fillId="0" borderId="93" xfId="0" applyFont="1" applyBorder="1" applyAlignment="1" applyProtection="1">
      <alignment horizontal="left" vertical="top" indent="1"/>
      <protection hidden="1"/>
    </xf>
    <xf numFmtId="0" fontId="58" fillId="0" borderId="0" xfId="0" applyFont="1" applyAlignment="1" applyProtection="1">
      <alignment horizontal="left" vertical="top" indent="1"/>
      <protection hidden="1"/>
    </xf>
    <xf numFmtId="0" fontId="58" fillId="0" borderId="92" xfId="0" applyFont="1" applyBorder="1" applyAlignment="1" applyProtection="1">
      <alignment horizontal="left" vertical="top" indent="1"/>
      <protection hidden="1"/>
    </xf>
    <xf numFmtId="0" fontId="52" fillId="0" borderId="92" xfId="0" applyFont="1" applyBorder="1" applyAlignment="1" applyProtection="1">
      <alignment horizontal="left" vertical="center" wrapText="1" indent="1"/>
      <protection hidden="1"/>
    </xf>
    <xf numFmtId="0" fontId="37" fillId="21" borderId="98" xfId="0" applyFont="1" applyFill="1" applyBorder="1" applyAlignment="1" applyProtection="1">
      <alignment horizontal="left" vertical="top" wrapText="1"/>
      <protection locked="0"/>
    </xf>
    <xf numFmtId="0" fontId="37" fillId="21" borderId="100" xfId="0" applyFont="1" applyFill="1" applyBorder="1" applyAlignment="1" applyProtection="1">
      <alignment horizontal="left" vertical="top" wrapText="1"/>
      <protection locked="0"/>
    </xf>
    <xf numFmtId="0" fontId="37" fillId="21" borderId="89" xfId="0" applyFont="1" applyFill="1" applyBorder="1" applyAlignment="1" applyProtection="1">
      <alignment horizontal="left" vertical="top" wrapText="1"/>
      <protection locked="0"/>
    </xf>
    <xf numFmtId="0" fontId="37" fillId="21" borderId="95" xfId="0" applyFont="1" applyFill="1" applyBorder="1" applyAlignment="1" applyProtection="1">
      <alignment horizontal="left" vertical="top" wrapText="1"/>
      <protection locked="0"/>
    </xf>
    <xf numFmtId="3" fontId="52" fillId="21" borderId="91" xfId="0" applyNumberFormat="1" applyFont="1" applyFill="1" applyBorder="1" applyAlignment="1" applyProtection="1">
      <alignment horizontal="left" vertical="top"/>
      <protection locked="0"/>
    </xf>
    <xf numFmtId="0" fontId="37" fillId="21" borderId="106" xfId="0" applyFont="1" applyFill="1" applyBorder="1" applyAlignment="1" applyProtection="1">
      <alignment horizontal="left" vertical="top" wrapText="1"/>
      <protection locked="0"/>
    </xf>
    <xf numFmtId="0" fontId="37" fillId="21" borderId="101" xfId="0" applyFont="1" applyFill="1" applyBorder="1" applyAlignment="1" applyProtection="1">
      <alignment horizontal="left" vertical="top" wrapText="1"/>
      <protection locked="0"/>
    </xf>
    <xf numFmtId="0" fontId="37" fillId="21" borderId="102" xfId="0" applyFont="1" applyFill="1" applyBorder="1" applyAlignment="1" applyProtection="1">
      <alignment horizontal="left" vertical="top" wrapText="1"/>
      <protection locked="0"/>
    </xf>
    <xf numFmtId="0" fontId="37" fillId="21" borderId="0" xfId="0" applyFont="1" applyFill="1" applyAlignment="1" applyProtection="1">
      <alignment horizontal="left" vertical="top" wrapText="1"/>
      <protection locked="0"/>
    </xf>
    <xf numFmtId="0" fontId="37" fillId="0" borderId="0" xfId="0" applyFont="1" applyAlignment="1" applyProtection="1">
      <alignment horizontal="left" vertical="top" wrapText="1" indent="1"/>
      <protection hidden="1"/>
    </xf>
    <xf numFmtId="0" fontId="37" fillId="21" borderId="96" xfId="0" applyFont="1" applyFill="1" applyBorder="1" applyAlignment="1" applyProtection="1">
      <alignment horizontal="left" vertical="top" wrapText="1"/>
      <protection locked="0"/>
    </xf>
    <xf numFmtId="3" fontId="52" fillId="21" borderId="90" xfId="0" applyNumberFormat="1" applyFont="1" applyFill="1" applyBorder="1" applyAlignment="1" applyProtection="1">
      <alignment horizontal="left" vertical="top"/>
      <protection locked="0"/>
    </xf>
    <xf numFmtId="0" fontId="52" fillId="21" borderId="93" xfId="0" applyFont="1" applyFill="1" applyBorder="1" applyAlignment="1" applyProtection="1">
      <alignment horizontal="left" vertical="top" wrapText="1"/>
      <protection locked="0"/>
    </xf>
    <xf numFmtId="0" fontId="52" fillId="21" borderId="92" xfId="0" applyFont="1" applyFill="1" applyBorder="1" applyAlignment="1" applyProtection="1">
      <alignment horizontal="left" vertical="top" wrapText="1"/>
      <protection locked="0"/>
    </xf>
    <xf numFmtId="3" fontId="52" fillId="21" borderId="0" xfId="0" applyNumberFormat="1" applyFont="1" applyFill="1" applyAlignment="1" applyProtection="1">
      <alignment horizontal="left" vertical="top" wrapText="1" shrinkToFit="1"/>
      <protection locked="0"/>
    </xf>
    <xf numFmtId="3" fontId="52" fillId="21" borderId="89" xfId="0" applyNumberFormat="1" applyFont="1" applyFill="1" applyBorder="1" applyAlignment="1" applyProtection="1">
      <alignment horizontal="left" vertical="top" wrapText="1"/>
      <protection locked="0"/>
    </xf>
    <xf numFmtId="0" fontId="52" fillId="0" borderId="0" xfId="0" applyFont="1" applyAlignment="1" applyProtection="1">
      <alignment horizontal="right" wrapText="1" indent="1"/>
      <protection hidden="1"/>
    </xf>
    <xf numFmtId="3" fontId="52" fillId="21" borderId="0" xfId="0" applyNumberFormat="1" applyFont="1" applyFill="1" applyAlignment="1" applyProtection="1">
      <alignment horizontal="left" vertical="top"/>
      <protection locked="0"/>
    </xf>
    <xf numFmtId="0" fontId="43" fillId="0" borderId="0" xfId="0" applyFont="1" applyAlignment="1" applyProtection="1">
      <alignment horizontal="right" wrapText="1" indent="1"/>
      <protection hidden="1"/>
    </xf>
    <xf numFmtId="0" fontId="52" fillId="21" borderId="89" xfId="0" applyFont="1" applyFill="1" applyBorder="1" applyAlignment="1" applyProtection="1">
      <alignment horizontal="left" vertical="top" wrapText="1"/>
      <protection locked="0"/>
    </xf>
    <xf numFmtId="0" fontId="52" fillId="21" borderId="95" xfId="0" applyFont="1" applyFill="1" applyBorder="1" applyAlignment="1" applyProtection="1">
      <alignment horizontal="left" vertical="top" wrapText="1"/>
      <protection locked="0"/>
    </xf>
    <xf numFmtId="0" fontId="52" fillId="21" borderId="90" xfId="0" applyFont="1" applyFill="1" applyBorder="1" applyAlignment="1" applyProtection="1">
      <alignment horizontal="left" vertical="top" wrapText="1"/>
      <protection locked="0"/>
    </xf>
    <xf numFmtId="0" fontId="52" fillId="21" borderId="97" xfId="0" applyFont="1" applyFill="1" applyBorder="1" applyAlignment="1" applyProtection="1">
      <alignment horizontal="left" vertical="top" wrapText="1"/>
      <protection locked="0"/>
    </xf>
    <xf numFmtId="0" fontId="52" fillId="21" borderId="91" xfId="0" applyFont="1" applyFill="1" applyBorder="1" applyAlignment="1" applyProtection="1">
      <alignment horizontal="left" vertical="top" wrapText="1"/>
      <protection locked="0"/>
    </xf>
    <xf numFmtId="0" fontId="52" fillId="21" borderId="99" xfId="0" applyFont="1" applyFill="1" applyBorder="1" applyAlignment="1" applyProtection="1">
      <alignment horizontal="left" vertical="top" wrapText="1"/>
      <protection locked="0"/>
    </xf>
    <xf numFmtId="3" fontId="52" fillId="21" borderId="89" xfId="0" applyNumberFormat="1" applyFont="1" applyFill="1" applyBorder="1" applyAlignment="1" applyProtection="1">
      <alignment horizontal="left" vertical="top"/>
      <protection locked="0"/>
    </xf>
    <xf numFmtId="0" fontId="52" fillId="21" borderId="0" xfId="0" applyFont="1" applyFill="1" applyAlignment="1" applyProtection="1">
      <alignment horizontal="left" vertical="top" wrapText="1"/>
      <protection locked="0"/>
    </xf>
    <xf numFmtId="14" fontId="37" fillId="21" borderId="93" xfId="0" applyNumberFormat="1" applyFont="1" applyFill="1" applyBorder="1" applyAlignment="1" applyProtection="1">
      <alignment horizontal="left" vertical="top" wrapText="1"/>
      <protection locked="0"/>
    </xf>
    <xf numFmtId="14" fontId="37" fillId="21" borderId="92" xfId="0" applyNumberFormat="1" applyFont="1" applyFill="1" applyBorder="1" applyAlignment="1" applyProtection="1">
      <alignment horizontal="left" vertical="top" wrapText="1"/>
      <protection locked="0"/>
    </xf>
    <xf numFmtId="0" fontId="37" fillId="21" borderId="93" xfId="0" applyFont="1" applyFill="1" applyBorder="1" applyAlignment="1" applyProtection="1">
      <alignment horizontal="left" vertical="top" wrapText="1"/>
      <protection locked="0"/>
    </xf>
    <xf numFmtId="0" fontId="37" fillId="21" borderId="0" xfId="0" applyFont="1" applyFill="1" applyAlignment="1" applyProtection="1">
      <alignment horizontal="left"/>
      <protection locked="0"/>
    </xf>
    <xf numFmtId="0" fontId="37" fillId="21" borderId="92" xfId="0" applyFont="1" applyFill="1" applyBorder="1" applyAlignment="1" applyProtection="1">
      <alignment horizontal="left"/>
      <protection locked="0"/>
    </xf>
    <xf numFmtId="0" fontId="52" fillId="0" borderId="0" xfId="0" applyFont="1" applyAlignment="1" applyProtection="1">
      <alignment horizontal="left" vertical="top" wrapText="1"/>
      <protection hidden="1"/>
    </xf>
    <xf numFmtId="0" fontId="41" fillId="0" borderId="0" xfId="0" applyFont="1" applyAlignment="1" applyProtection="1">
      <alignment horizontal="left" vertical="top" wrapText="1"/>
      <protection hidden="1"/>
    </xf>
    <xf numFmtId="0" fontId="56" fillId="0" borderId="0" xfId="0" applyFont="1" applyAlignment="1" applyProtection="1">
      <alignment horizontal="left" vertical="top"/>
      <protection hidden="1"/>
    </xf>
    <xf numFmtId="0" fontId="56" fillId="0" borderId="91" xfId="0" applyFont="1" applyBorder="1" applyAlignment="1" applyProtection="1">
      <alignment horizontal="left" vertical="top"/>
      <protection hidden="1"/>
    </xf>
    <xf numFmtId="3" fontId="52" fillId="4" borderId="89" xfId="0" applyNumberFormat="1" applyFont="1" applyFill="1" applyBorder="1" applyAlignment="1">
      <alignment horizontal="left" vertical="top"/>
    </xf>
    <xf numFmtId="0" fontId="52" fillId="4" borderId="89" xfId="0" applyFont="1" applyFill="1" applyBorder="1" applyAlignment="1">
      <alignment horizontal="left" vertical="top"/>
    </xf>
    <xf numFmtId="0" fontId="52" fillId="0" borderId="0" xfId="0" applyFont="1" applyAlignment="1" applyProtection="1">
      <alignment horizontal="left" vertical="center" wrapText="1"/>
      <protection hidden="1"/>
    </xf>
    <xf numFmtId="0" fontId="52" fillId="19" borderId="0" xfId="0" applyFont="1" applyFill="1" applyAlignment="1" applyProtection="1">
      <alignment horizontal="left" vertical="top" wrapText="1"/>
      <protection hidden="1"/>
    </xf>
    <xf numFmtId="0" fontId="52" fillId="19" borderId="0" xfId="0" applyFont="1" applyFill="1" applyAlignment="1" applyProtection="1">
      <alignment horizontal="left" wrapText="1"/>
      <protection hidden="1"/>
    </xf>
    <xf numFmtId="0" fontId="58" fillId="0" borderId="0" xfId="0" applyFont="1" applyAlignment="1" applyProtection="1">
      <alignment horizontal="left" vertical="center" wrapText="1"/>
      <protection hidden="1"/>
    </xf>
    <xf numFmtId="0" fontId="52" fillId="0" borderId="0" xfId="0" applyFont="1" applyAlignment="1" applyProtection="1">
      <alignment horizontal="left" wrapText="1"/>
      <protection hidden="1"/>
    </xf>
    <xf numFmtId="2" fontId="37" fillId="21" borderId="0" xfId="2" applyNumberFormat="1" applyFont="1" applyFill="1" applyAlignment="1" applyProtection="1">
      <alignment horizontal="center" vertical="center"/>
      <protection locked="0"/>
    </xf>
    <xf numFmtId="0" fontId="37" fillId="0" borderId="0" xfId="2" applyFont="1" applyAlignment="1" applyProtection="1">
      <alignment horizontal="left" vertical="center" wrapText="1"/>
      <protection hidden="1"/>
    </xf>
    <xf numFmtId="0" fontId="37" fillId="0" borderId="0" xfId="2" applyFont="1" applyAlignment="1" applyProtection="1">
      <alignment horizontal="left" vertical="top" wrapText="1"/>
      <protection hidden="1"/>
    </xf>
    <xf numFmtId="0" fontId="0" fillId="0" borderId="11" xfId="0" applyBorder="1" applyAlignment="1">
      <alignment horizontal="left" vertical="center" wrapText="1" indent="1"/>
    </xf>
    <xf numFmtId="3" fontId="0" fillId="21" borderId="104" xfId="0" applyNumberFormat="1" applyFill="1" applyBorder="1" applyAlignment="1" applyProtection="1">
      <alignment horizontal="left" vertical="top" wrapText="1"/>
      <protection locked="0"/>
    </xf>
    <xf numFmtId="0" fontId="0" fillId="0" borderId="11" xfId="0" applyBorder="1" applyAlignment="1">
      <alignment horizontal="left" vertical="top" wrapText="1" indent="1"/>
    </xf>
    <xf numFmtId="3" fontId="0" fillId="21" borderId="103" xfId="0" applyNumberFormat="1" applyFill="1" applyBorder="1" applyAlignment="1" applyProtection="1">
      <alignment horizontal="left" vertical="top" wrapText="1"/>
      <protection locked="0"/>
    </xf>
    <xf numFmtId="0" fontId="0" fillId="0" borderId="0" xfId="0" applyAlignment="1">
      <alignment horizontal="left" vertical="center"/>
    </xf>
    <xf numFmtId="0" fontId="0" fillId="0" borderId="43" xfId="0" applyBorder="1" applyAlignment="1">
      <alignment horizontal="left" vertical="center" wrapText="1" indent="1"/>
    </xf>
    <xf numFmtId="0" fontId="0" fillId="0" borderId="0" xfId="0" applyAlignment="1">
      <alignment horizontal="left" vertical="top"/>
    </xf>
    <xf numFmtId="0" fontId="0" fillId="0" borderId="0" xfId="0" applyAlignment="1">
      <alignment horizontal="left" vertical="top" wrapText="1"/>
    </xf>
    <xf numFmtId="0" fontId="0" fillId="3" borderId="0" xfId="0" applyFill="1" applyAlignment="1">
      <alignment horizontal="center" vertical="center" wrapText="1"/>
    </xf>
    <xf numFmtId="49" fontId="21" fillId="7" borderId="7" xfId="2" applyNumberFormat="1" applyFont="1" applyFill="1" applyBorder="1" applyAlignment="1" applyProtection="1">
      <alignment horizontal="left" vertical="center" wrapText="1"/>
      <protection locked="0"/>
    </xf>
    <xf numFmtId="49" fontId="21" fillId="7" borderId="8" xfId="2" applyNumberFormat="1" applyFont="1" applyFill="1" applyBorder="1" applyAlignment="1" applyProtection="1">
      <alignment horizontal="left" vertical="center" wrapText="1"/>
      <protection locked="0"/>
    </xf>
    <xf numFmtId="49" fontId="21" fillId="7" borderId="9" xfId="2" applyNumberFormat="1" applyFont="1" applyFill="1" applyBorder="1" applyAlignment="1" applyProtection="1">
      <alignment horizontal="left" vertical="center" wrapText="1"/>
      <protection locked="0"/>
    </xf>
    <xf numFmtId="167" fontId="3" fillId="9" borderId="20" xfId="2" applyNumberFormat="1" applyFont="1" applyFill="1" applyBorder="1" applyAlignment="1">
      <alignment horizontal="center" vertical="top"/>
    </xf>
    <xf numFmtId="167" fontId="3" fillId="9" borderId="3" xfId="2" applyNumberFormat="1" applyFont="1" applyFill="1" applyBorder="1" applyAlignment="1">
      <alignment horizontal="center" vertical="top"/>
    </xf>
    <xf numFmtId="167" fontId="3" fillId="9" borderId="21" xfId="2" applyNumberFormat="1" applyFont="1" applyFill="1" applyBorder="1" applyAlignment="1">
      <alignment horizontal="center" vertical="top"/>
    </xf>
    <xf numFmtId="0" fontId="26" fillId="7" borderId="11" xfId="2" applyFont="1" applyFill="1" applyBorder="1" applyAlignment="1" applyProtection="1">
      <alignment vertical="center"/>
      <protection locked="0"/>
    </xf>
    <xf numFmtId="0" fontId="26" fillId="7" borderId="34" xfId="2" applyFont="1" applyFill="1" applyBorder="1" applyAlignment="1" applyProtection="1">
      <alignment vertical="center"/>
      <protection locked="0"/>
    </xf>
    <xf numFmtId="167" fontId="16" fillId="0" borderId="0" xfId="2" applyNumberFormat="1" applyFont="1" applyAlignment="1">
      <alignment horizontal="left" vertical="center" wrapText="1"/>
    </xf>
    <xf numFmtId="167" fontId="16" fillId="0" borderId="6" xfId="2" applyNumberFormat="1" applyFont="1" applyBorder="1" applyAlignment="1">
      <alignment horizontal="left" vertical="center" wrapText="1"/>
    </xf>
    <xf numFmtId="167" fontId="3" fillId="7" borderId="7" xfId="2" applyNumberFormat="1" applyFont="1" applyFill="1" applyBorder="1" applyAlignment="1">
      <alignment horizontal="center" vertical="center"/>
    </xf>
    <xf numFmtId="167" fontId="3" fillId="7" borderId="8" xfId="2" applyNumberFormat="1" applyFont="1" applyFill="1" applyBorder="1" applyAlignment="1">
      <alignment horizontal="center" vertical="center"/>
    </xf>
    <xf numFmtId="167" fontId="3" fillId="7" borderId="9" xfId="2" applyNumberFormat="1" applyFont="1" applyFill="1" applyBorder="1" applyAlignment="1">
      <alignment horizontal="center" vertical="center"/>
    </xf>
    <xf numFmtId="49" fontId="21" fillId="7" borderId="12" xfId="2" applyNumberFormat="1" applyFont="1" applyFill="1" applyBorder="1" applyAlignment="1" applyProtection="1">
      <alignment horizontal="left" vertical="center" wrapText="1"/>
      <protection locked="0"/>
    </xf>
    <xf numFmtId="49" fontId="21" fillId="7" borderId="13" xfId="2" applyNumberFormat="1" applyFont="1" applyFill="1" applyBorder="1" applyAlignment="1" applyProtection="1">
      <alignment horizontal="left" vertical="center" wrapText="1"/>
      <protection locked="0"/>
    </xf>
    <xf numFmtId="49" fontId="21" fillId="7" borderId="14" xfId="2" applyNumberFormat="1" applyFont="1" applyFill="1" applyBorder="1" applyAlignment="1" applyProtection="1">
      <alignment horizontal="left" vertical="center" wrapText="1"/>
      <protection locked="0"/>
    </xf>
    <xf numFmtId="167" fontId="9" fillId="9" borderId="15" xfId="2" applyNumberFormat="1" applyFont="1" applyFill="1" applyBorder="1" applyAlignment="1">
      <alignment horizontal="center"/>
    </xf>
    <xf numFmtId="167" fontId="9" fillId="9" borderId="16" xfId="2" applyNumberFormat="1" applyFont="1" applyFill="1" applyBorder="1" applyAlignment="1">
      <alignment horizontal="center"/>
    </xf>
    <xf numFmtId="167" fontId="9" fillId="9" borderId="17" xfId="2" applyNumberFormat="1" applyFont="1" applyFill="1" applyBorder="1" applyAlignment="1">
      <alignment horizontal="center"/>
    </xf>
    <xf numFmtId="49" fontId="21" fillId="0" borderId="19" xfId="2" applyNumberFormat="1" applyFont="1" applyBorder="1" applyAlignment="1">
      <alignment horizontal="center" vertical="center"/>
    </xf>
    <xf numFmtId="49" fontId="21" fillId="0" borderId="50" xfId="2" applyNumberFormat="1" applyFont="1" applyBorder="1" applyAlignment="1">
      <alignment horizontal="center" vertical="center"/>
    </xf>
    <xf numFmtId="0" fontId="0" fillId="0" borderId="0" xfId="0" applyAlignment="1">
      <alignment horizontal="left" indent="1"/>
    </xf>
    <xf numFmtId="0" fontId="42" fillId="22" borderId="0" xfId="7" applyFill="1" applyAlignment="1">
      <alignment horizontal="left" vertical="top" wrapText="1"/>
    </xf>
    <xf numFmtId="0" fontId="0" fillId="0" borderId="67" xfId="0" applyBorder="1" applyAlignment="1">
      <alignment horizontal="left" indent="1"/>
    </xf>
    <xf numFmtId="0" fontId="0" fillId="0" borderId="0" xfId="0" applyAlignment="1">
      <alignment horizontal="left" wrapText="1"/>
    </xf>
    <xf numFmtId="0" fontId="42" fillId="22" borderId="0" xfId="7" applyFill="1" applyAlignment="1">
      <alignment horizontal="left" wrapText="1"/>
    </xf>
    <xf numFmtId="0" fontId="0" fillId="0" borderId="68" xfId="0" applyBorder="1" applyAlignment="1">
      <alignment horizontal="left" inden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0" xfId="0" applyAlignment="1">
      <alignment horizontal="right" vertical="center" wrapText="1" indent="1"/>
    </xf>
    <xf numFmtId="0" fontId="0" fillId="0" borderId="0" xfId="0" applyAlignment="1">
      <alignment horizontal="center" vertical="center"/>
    </xf>
    <xf numFmtId="0" fontId="0" fillId="0" borderId="0" xfId="0" applyAlignment="1">
      <alignment horizontal="center" vertical="center" wrapText="1"/>
    </xf>
    <xf numFmtId="0" fontId="0" fillId="0" borderId="53" xfId="0" applyBorder="1" applyAlignment="1">
      <alignment horizontal="left" indent="1"/>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57" xfId="0" applyBorder="1" applyAlignment="1">
      <alignment horizontal="center"/>
    </xf>
    <xf numFmtId="0" fontId="0" fillId="0" borderId="58" xfId="0" applyBorder="1" applyAlignment="1">
      <alignment horizontal="center"/>
    </xf>
  </cellXfs>
  <cellStyles count="10">
    <cellStyle name="Komma" xfId="4" builtinId="3"/>
    <cellStyle name="Link" xfId="7" builtinId="8"/>
    <cellStyle name="Link 2" xfId="5" xr:uid="{93231E02-5292-462D-A3C0-01EEC55F6628}"/>
    <cellStyle name="Prozent" xfId="1" builtinId="5"/>
    <cellStyle name="Prozent 2" xfId="3" xr:uid="{BFAF3805-1F19-4FE4-B447-D8D6516CD2F7}"/>
    <cellStyle name="Standard" xfId="0" builtinId="0"/>
    <cellStyle name="Standard 19" xfId="9" xr:uid="{FC9DC231-9D84-4070-8C86-74B8DBC75377}"/>
    <cellStyle name="Standard 2" xfId="6" xr:uid="{D49398BD-1BCA-493F-A522-78F68CA9BF91}"/>
    <cellStyle name="Standard 3" xfId="2" xr:uid="{115C48C8-8DA4-4B84-81A7-A5CA97CD47BE}"/>
    <cellStyle name="Währung" xfId="8" builtinId="4"/>
  </cellStyles>
  <dxfs count="363">
    <dxf>
      <font>
        <color theme="0" tint="-0.14996795556505021"/>
      </font>
      <fill>
        <patternFill patternType="none">
          <bgColor auto="1"/>
        </patternFill>
      </fill>
    </dxf>
    <dxf>
      <font>
        <color theme="0" tint="-0.14996795556505021"/>
      </font>
      <fill>
        <patternFill patternType="none">
          <bgColor auto="1"/>
        </patternFill>
      </fill>
    </dxf>
    <dxf>
      <font>
        <color theme="0" tint="-0.14996795556505021"/>
      </font>
      <fill>
        <patternFill patternType="none">
          <bgColor auto="1"/>
        </patternFill>
      </fill>
    </dxf>
    <dxf>
      <font>
        <color theme="0" tint="-0.14996795556505021"/>
      </font>
      <fill>
        <patternFill patternType="none">
          <bgColor auto="1"/>
        </patternFill>
      </fill>
    </dxf>
    <dxf>
      <font>
        <color theme="0" tint="-0.14996795556505021"/>
      </font>
      <fill>
        <patternFill patternType="none">
          <bgColor auto="1"/>
        </patternFill>
      </fill>
    </dxf>
    <dxf>
      <font>
        <color theme="0" tint="-0.24994659260841701"/>
      </font>
      <fill>
        <patternFill patternType="none">
          <bgColor auto="1"/>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theme="1"/>
      </font>
      <fill>
        <patternFill>
          <bgColor rgb="FFC00000"/>
        </patternFill>
      </fill>
    </dxf>
    <dxf>
      <font>
        <color theme="1"/>
      </font>
      <fill>
        <patternFill>
          <bgColor rgb="FF92D05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ont>
        <color rgb="FFC00000"/>
      </font>
      <fill>
        <patternFill>
          <bgColor rgb="FFC00000"/>
        </patternFill>
      </fill>
    </dxf>
    <dxf>
      <font>
        <color rgb="FFC00000"/>
      </font>
      <fill>
        <patternFill>
          <bgColor rgb="FFC00000"/>
        </patternFill>
      </fill>
    </dxf>
    <dxf>
      <font>
        <color rgb="FFC00000"/>
      </font>
      <fill>
        <patternFill>
          <bgColor rgb="FFC00000"/>
        </patternFill>
      </fill>
    </dxf>
    <dxf>
      <font>
        <color rgb="FF92D050"/>
      </font>
      <fill>
        <patternFill>
          <bgColor rgb="FF92D05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0"/>
        </patternFill>
      </fill>
    </dxf>
    <dxf>
      <fill>
        <patternFill>
          <bgColor theme="0"/>
        </patternFill>
      </fill>
    </dxf>
    <dxf>
      <fill>
        <patternFill>
          <bgColor theme="0"/>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patternType="none">
          <bgColor auto="1"/>
        </patternFill>
      </fill>
    </dxf>
    <dxf>
      <fill>
        <patternFill patternType="none">
          <bgColor auto="1"/>
        </patternFill>
      </fill>
    </dxf>
    <dxf>
      <fill>
        <patternFill patternType="none">
          <bgColor auto="1"/>
        </patternFill>
      </fill>
    </dxf>
    <dxf>
      <font>
        <color theme="0"/>
      </font>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FFCC"/>
      <color rgb="FF467886"/>
      <color rgb="FFFFCC00"/>
      <color rgb="FFF6A20A"/>
      <color rgb="FFFFFF99"/>
      <color rgb="FFCC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1"/>
          <c:tx>
            <c:strRef>
              <c:f>Marktpreisindex!$C$4</c:f>
              <c:strCache>
                <c:ptCount val="1"/>
                <c:pt idx="0">
                  <c:v>Basepreis in CHF/MWh</c:v>
                </c:pt>
              </c:strCache>
            </c:strRef>
          </c:tx>
          <c:spPr>
            <a:ln w="28575" cap="rnd">
              <a:solidFill>
                <a:schemeClr val="accent2">
                  <a:lumMod val="40000"/>
                  <a:lumOff val="60000"/>
                </a:schemeClr>
              </a:solidFill>
              <a:round/>
            </a:ln>
            <a:effectLst/>
          </c:spPr>
          <c:marker>
            <c:symbol val="none"/>
          </c:marker>
          <c:cat>
            <c:numRef>
              <c:f>Marktpreisindex!$D$2:$CY$2</c:f>
              <c:numCache>
                <c:formatCode>General</c:formatCode>
                <c:ptCount val="10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pt idx="63">
                  <c:v>2089</c:v>
                </c:pt>
                <c:pt idx="64">
                  <c:v>2090</c:v>
                </c:pt>
                <c:pt idx="65">
                  <c:v>2091</c:v>
                </c:pt>
                <c:pt idx="66">
                  <c:v>2092</c:v>
                </c:pt>
                <c:pt idx="67">
                  <c:v>2093</c:v>
                </c:pt>
                <c:pt idx="68">
                  <c:v>2094</c:v>
                </c:pt>
                <c:pt idx="69">
                  <c:v>2095</c:v>
                </c:pt>
                <c:pt idx="70">
                  <c:v>2096</c:v>
                </c:pt>
                <c:pt idx="71">
                  <c:v>2097</c:v>
                </c:pt>
                <c:pt idx="72">
                  <c:v>2098</c:v>
                </c:pt>
                <c:pt idx="73">
                  <c:v>2099</c:v>
                </c:pt>
                <c:pt idx="74">
                  <c:v>2100</c:v>
                </c:pt>
                <c:pt idx="75">
                  <c:v>2101</c:v>
                </c:pt>
                <c:pt idx="76">
                  <c:v>2102</c:v>
                </c:pt>
                <c:pt idx="77">
                  <c:v>2103</c:v>
                </c:pt>
                <c:pt idx="78">
                  <c:v>2104</c:v>
                </c:pt>
                <c:pt idx="79">
                  <c:v>2105</c:v>
                </c:pt>
                <c:pt idx="80">
                  <c:v>2106</c:v>
                </c:pt>
                <c:pt idx="81">
                  <c:v>2107</c:v>
                </c:pt>
                <c:pt idx="82">
                  <c:v>2108</c:v>
                </c:pt>
                <c:pt idx="83">
                  <c:v>2109</c:v>
                </c:pt>
                <c:pt idx="84">
                  <c:v>2110</c:v>
                </c:pt>
                <c:pt idx="85">
                  <c:v>2111</c:v>
                </c:pt>
                <c:pt idx="86">
                  <c:v>2112</c:v>
                </c:pt>
                <c:pt idx="87">
                  <c:v>2113</c:v>
                </c:pt>
                <c:pt idx="88">
                  <c:v>2114</c:v>
                </c:pt>
                <c:pt idx="89">
                  <c:v>2115</c:v>
                </c:pt>
                <c:pt idx="90">
                  <c:v>2116</c:v>
                </c:pt>
                <c:pt idx="91">
                  <c:v>2117</c:v>
                </c:pt>
                <c:pt idx="92">
                  <c:v>2118</c:v>
                </c:pt>
                <c:pt idx="93">
                  <c:v>2119</c:v>
                </c:pt>
                <c:pt idx="94">
                  <c:v>2120</c:v>
                </c:pt>
                <c:pt idx="95">
                  <c:v>2121</c:v>
                </c:pt>
                <c:pt idx="96">
                  <c:v>2122</c:v>
                </c:pt>
                <c:pt idx="97">
                  <c:v>2123</c:v>
                </c:pt>
                <c:pt idx="98">
                  <c:v>2124</c:v>
                </c:pt>
                <c:pt idx="99">
                  <c:v>2125</c:v>
                </c:pt>
              </c:numCache>
            </c:numRef>
          </c:cat>
          <c:val>
            <c:numRef>
              <c:f>Marktpreisindex!$D$4:$CY$4</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mooth val="0"/>
          <c:extLst>
            <c:ext xmlns:c16="http://schemas.microsoft.com/office/drawing/2014/chart" uri="{C3380CC4-5D6E-409C-BE32-E72D297353CC}">
              <c16:uniqueId val="{00000000-F16A-452B-BEBB-BA4406D85AD6}"/>
            </c:ext>
          </c:extLst>
        </c:ser>
        <c:dLbls>
          <c:showLegendKey val="0"/>
          <c:showVal val="0"/>
          <c:showCatName val="0"/>
          <c:showSerName val="0"/>
          <c:showPercent val="0"/>
          <c:showBubbleSize val="0"/>
        </c:dLbls>
        <c:marker val="1"/>
        <c:smooth val="0"/>
        <c:axId val="1820456176"/>
        <c:axId val="1820460496"/>
      </c:lineChart>
      <c:lineChart>
        <c:grouping val="standard"/>
        <c:varyColors val="0"/>
        <c:ser>
          <c:idx val="0"/>
          <c:order val="0"/>
          <c:tx>
            <c:strRef>
              <c:f>Marktpreisindex!$C$3</c:f>
              <c:strCache>
                <c:ptCount val="1"/>
                <c:pt idx="0">
                  <c:v>Index</c:v>
                </c:pt>
              </c:strCache>
            </c:strRef>
          </c:tx>
          <c:spPr>
            <a:ln w="28575" cap="rnd">
              <a:solidFill>
                <a:schemeClr val="tx2">
                  <a:lumMod val="25000"/>
                  <a:lumOff val="75000"/>
                </a:schemeClr>
              </a:solidFill>
              <a:round/>
            </a:ln>
            <a:effectLst/>
          </c:spPr>
          <c:marker>
            <c:symbol val="none"/>
          </c:marker>
          <c:cat>
            <c:numRef>
              <c:f>Marktpreisindex!$D$2:$CY$2</c:f>
              <c:numCache>
                <c:formatCode>General</c:formatCode>
                <c:ptCount val="100"/>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pt idx="25">
                  <c:v>2051</c:v>
                </c:pt>
                <c:pt idx="26">
                  <c:v>2052</c:v>
                </c:pt>
                <c:pt idx="27">
                  <c:v>2053</c:v>
                </c:pt>
                <c:pt idx="28">
                  <c:v>2054</c:v>
                </c:pt>
                <c:pt idx="29">
                  <c:v>2055</c:v>
                </c:pt>
                <c:pt idx="30">
                  <c:v>2056</c:v>
                </c:pt>
                <c:pt idx="31">
                  <c:v>2057</c:v>
                </c:pt>
                <c:pt idx="32">
                  <c:v>2058</c:v>
                </c:pt>
                <c:pt idx="33">
                  <c:v>2059</c:v>
                </c:pt>
                <c:pt idx="34">
                  <c:v>2060</c:v>
                </c:pt>
                <c:pt idx="35">
                  <c:v>2061</c:v>
                </c:pt>
                <c:pt idx="36">
                  <c:v>2062</c:v>
                </c:pt>
                <c:pt idx="37">
                  <c:v>2063</c:v>
                </c:pt>
                <c:pt idx="38">
                  <c:v>2064</c:v>
                </c:pt>
                <c:pt idx="39">
                  <c:v>2065</c:v>
                </c:pt>
                <c:pt idx="40">
                  <c:v>2066</c:v>
                </c:pt>
                <c:pt idx="41">
                  <c:v>2067</c:v>
                </c:pt>
                <c:pt idx="42">
                  <c:v>2068</c:v>
                </c:pt>
                <c:pt idx="43">
                  <c:v>2069</c:v>
                </c:pt>
                <c:pt idx="44">
                  <c:v>2070</c:v>
                </c:pt>
                <c:pt idx="45">
                  <c:v>2071</c:v>
                </c:pt>
                <c:pt idx="46">
                  <c:v>2072</c:v>
                </c:pt>
                <c:pt idx="47">
                  <c:v>2073</c:v>
                </c:pt>
                <c:pt idx="48">
                  <c:v>2074</c:v>
                </c:pt>
                <c:pt idx="49">
                  <c:v>2075</c:v>
                </c:pt>
                <c:pt idx="50">
                  <c:v>2076</c:v>
                </c:pt>
                <c:pt idx="51">
                  <c:v>2077</c:v>
                </c:pt>
                <c:pt idx="52">
                  <c:v>2078</c:v>
                </c:pt>
                <c:pt idx="53">
                  <c:v>2079</c:v>
                </c:pt>
                <c:pt idx="54">
                  <c:v>2080</c:v>
                </c:pt>
                <c:pt idx="55">
                  <c:v>2081</c:v>
                </c:pt>
                <c:pt idx="56">
                  <c:v>2082</c:v>
                </c:pt>
                <c:pt idx="57">
                  <c:v>2083</c:v>
                </c:pt>
                <c:pt idx="58">
                  <c:v>2084</c:v>
                </c:pt>
                <c:pt idx="59">
                  <c:v>2085</c:v>
                </c:pt>
                <c:pt idx="60">
                  <c:v>2086</c:v>
                </c:pt>
                <c:pt idx="61">
                  <c:v>2087</c:v>
                </c:pt>
                <c:pt idx="62">
                  <c:v>2088</c:v>
                </c:pt>
                <c:pt idx="63">
                  <c:v>2089</c:v>
                </c:pt>
                <c:pt idx="64">
                  <c:v>2090</c:v>
                </c:pt>
                <c:pt idx="65">
                  <c:v>2091</c:v>
                </c:pt>
                <c:pt idx="66">
                  <c:v>2092</c:v>
                </c:pt>
                <c:pt idx="67">
                  <c:v>2093</c:v>
                </c:pt>
                <c:pt idx="68">
                  <c:v>2094</c:v>
                </c:pt>
                <c:pt idx="69">
                  <c:v>2095</c:v>
                </c:pt>
                <c:pt idx="70">
                  <c:v>2096</c:v>
                </c:pt>
                <c:pt idx="71">
                  <c:v>2097</c:v>
                </c:pt>
                <c:pt idx="72">
                  <c:v>2098</c:v>
                </c:pt>
                <c:pt idx="73">
                  <c:v>2099</c:v>
                </c:pt>
                <c:pt idx="74">
                  <c:v>2100</c:v>
                </c:pt>
                <c:pt idx="75">
                  <c:v>2101</c:v>
                </c:pt>
                <c:pt idx="76">
                  <c:v>2102</c:v>
                </c:pt>
                <c:pt idx="77">
                  <c:v>2103</c:v>
                </c:pt>
                <c:pt idx="78">
                  <c:v>2104</c:v>
                </c:pt>
                <c:pt idx="79">
                  <c:v>2105</c:v>
                </c:pt>
                <c:pt idx="80">
                  <c:v>2106</c:v>
                </c:pt>
                <c:pt idx="81">
                  <c:v>2107</c:v>
                </c:pt>
                <c:pt idx="82">
                  <c:v>2108</c:v>
                </c:pt>
                <c:pt idx="83">
                  <c:v>2109</c:v>
                </c:pt>
                <c:pt idx="84">
                  <c:v>2110</c:v>
                </c:pt>
                <c:pt idx="85">
                  <c:v>2111</c:v>
                </c:pt>
                <c:pt idx="86">
                  <c:v>2112</c:v>
                </c:pt>
                <c:pt idx="87">
                  <c:v>2113</c:v>
                </c:pt>
                <c:pt idx="88">
                  <c:v>2114</c:v>
                </c:pt>
                <c:pt idx="89">
                  <c:v>2115</c:v>
                </c:pt>
                <c:pt idx="90">
                  <c:v>2116</c:v>
                </c:pt>
                <c:pt idx="91">
                  <c:v>2117</c:v>
                </c:pt>
                <c:pt idx="92">
                  <c:v>2118</c:v>
                </c:pt>
                <c:pt idx="93">
                  <c:v>2119</c:v>
                </c:pt>
                <c:pt idx="94">
                  <c:v>2120</c:v>
                </c:pt>
                <c:pt idx="95">
                  <c:v>2121</c:v>
                </c:pt>
                <c:pt idx="96">
                  <c:v>2122</c:v>
                </c:pt>
                <c:pt idx="97">
                  <c:v>2123</c:v>
                </c:pt>
                <c:pt idx="98">
                  <c:v>2124</c:v>
                </c:pt>
                <c:pt idx="99">
                  <c:v>2125</c:v>
                </c:pt>
              </c:numCache>
            </c:numRef>
          </c:cat>
          <c:val>
            <c:numRef>
              <c:f>Marktpreisindex!$D$3:$CY$3</c:f>
              <c:numCache>
                <c:formatCode>0.00</c:formatCode>
                <c:ptCount val="100"/>
                <c:pt idx="0">
                  <c:v>1</c:v>
                </c:pt>
                <c:pt idx="1">
                  <c:v>1</c:v>
                </c:pt>
                <c:pt idx="2">
                  <c:v>1</c:v>
                </c:pt>
                <c:pt idx="3">
                  <c:v>1</c:v>
                </c:pt>
                <c:pt idx="4">
                  <c:v>1</c:v>
                </c:pt>
                <c:pt idx="5">
                  <c:v>1</c:v>
                </c:pt>
                <c:pt idx="6">
                  <c:v>1</c:v>
                </c:pt>
                <c:pt idx="7">
                  <c:v>1</c:v>
                </c:pt>
                <c:pt idx="8">
                  <c:v>1</c:v>
                </c:pt>
                <c:pt idx="9">
                  <c:v>1</c:v>
                </c:pt>
                <c:pt idx="10">
                  <c:v>0.995</c:v>
                </c:pt>
                <c:pt idx="11">
                  <c:v>0.99</c:v>
                </c:pt>
                <c:pt idx="12">
                  <c:v>0.98499999999999999</c:v>
                </c:pt>
                <c:pt idx="13">
                  <c:v>0.98</c:v>
                </c:pt>
                <c:pt idx="14">
                  <c:v>0.97499999999999998</c:v>
                </c:pt>
                <c:pt idx="15">
                  <c:v>0.97</c:v>
                </c:pt>
                <c:pt idx="16">
                  <c:v>0.96499999999999997</c:v>
                </c:pt>
                <c:pt idx="17">
                  <c:v>0.96</c:v>
                </c:pt>
                <c:pt idx="18">
                  <c:v>0.95499999999999996</c:v>
                </c:pt>
                <c:pt idx="19">
                  <c:v>0.95</c:v>
                </c:pt>
                <c:pt idx="20">
                  <c:v>0.95</c:v>
                </c:pt>
                <c:pt idx="21">
                  <c:v>0.95</c:v>
                </c:pt>
                <c:pt idx="22">
                  <c:v>0.95</c:v>
                </c:pt>
                <c:pt idx="23">
                  <c:v>0.95</c:v>
                </c:pt>
                <c:pt idx="24">
                  <c:v>0.95</c:v>
                </c:pt>
                <c:pt idx="25">
                  <c:v>0.95</c:v>
                </c:pt>
                <c:pt idx="26">
                  <c:v>0.95</c:v>
                </c:pt>
                <c:pt idx="27">
                  <c:v>0.95</c:v>
                </c:pt>
                <c:pt idx="28">
                  <c:v>0.95</c:v>
                </c:pt>
                <c:pt idx="29">
                  <c:v>0.95</c:v>
                </c:pt>
                <c:pt idx="30">
                  <c:v>0.94750000000000001</c:v>
                </c:pt>
                <c:pt idx="31">
                  <c:v>0.94500000000000006</c:v>
                </c:pt>
                <c:pt idx="32">
                  <c:v>0.94250000000000012</c:v>
                </c:pt>
                <c:pt idx="33">
                  <c:v>0.94000000000000017</c:v>
                </c:pt>
                <c:pt idx="34">
                  <c:v>0.93750000000000022</c:v>
                </c:pt>
                <c:pt idx="35">
                  <c:v>0.93500000000000028</c:v>
                </c:pt>
                <c:pt idx="36">
                  <c:v>0.93250000000000033</c:v>
                </c:pt>
                <c:pt idx="37">
                  <c:v>0.93000000000000038</c:v>
                </c:pt>
                <c:pt idx="38">
                  <c:v>0.92750000000000044</c:v>
                </c:pt>
                <c:pt idx="39">
                  <c:v>0.92500000000000049</c:v>
                </c:pt>
                <c:pt idx="40">
                  <c:v>0.92250000000000054</c:v>
                </c:pt>
                <c:pt idx="41">
                  <c:v>0.9200000000000006</c:v>
                </c:pt>
                <c:pt idx="42">
                  <c:v>0.91750000000000065</c:v>
                </c:pt>
                <c:pt idx="43">
                  <c:v>0.9150000000000007</c:v>
                </c:pt>
                <c:pt idx="44">
                  <c:v>0.91250000000000075</c:v>
                </c:pt>
                <c:pt idx="45">
                  <c:v>0.91000000000000081</c:v>
                </c:pt>
                <c:pt idx="46">
                  <c:v>0.90750000000000086</c:v>
                </c:pt>
                <c:pt idx="47">
                  <c:v>0.90500000000000091</c:v>
                </c:pt>
                <c:pt idx="48">
                  <c:v>0.90250000000000097</c:v>
                </c:pt>
                <c:pt idx="49">
                  <c:v>0.90000000000000102</c:v>
                </c:pt>
                <c:pt idx="50">
                  <c:v>0.9</c:v>
                </c:pt>
                <c:pt idx="51">
                  <c:v>0.9</c:v>
                </c:pt>
                <c:pt idx="52">
                  <c:v>0.9</c:v>
                </c:pt>
                <c:pt idx="53">
                  <c:v>0.9</c:v>
                </c:pt>
                <c:pt idx="54">
                  <c:v>0.9</c:v>
                </c:pt>
                <c:pt idx="55">
                  <c:v>0.9</c:v>
                </c:pt>
                <c:pt idx="56">
                  <c:v>0.9</c:v>
                </c:pt>
                <c:pt idx="57">
                  <c:v>0.9</c:v>
                </c:pt>
                <c:pt idx="58">
                  <c:v>0.9</c:v>
                </c:pt>
                <c:pt idx="59">
                  <c:v>0.9</c:v>
                </c:pt>
                <c:pt idx="60">
                  <c:v>0.9</c:v>
                </c:pt>
                <c:pt idx="61">
                  <c:v>0.9</c:v>
                </c:pt>
                <c:pt idx="62">
                  <c:v>0.9</c:v>
                </c:pt>
                <c:pt idx="63">
                  <c:v>0.9</c:v>
                </c:pt>
                <c:pt idx="64">
                  <c:v>0.9</c:v>
                </c:pt>
                <c:pt idx="65">
                  <c:v>0.9</c:v>
                </c:pt>
                <c:pt idx="66">
                  <c:v>0.9</c:v>
                </c:pt>
                <c:pt idx="67">
                  <c:v>0.9</c:v>
                </c:pt>
                <c:pt idx="68">
                  <c:v>0.9</c:v>
                </c:pt>
                <c:pt idx="69">
                  <c:v>0.9</c:v>
                </c:pt>
                <c:pt idx="70">
                  <c:v>0.9</c:v>
                </c:pt>
                <c:pt idx="71">
                  <c:v>0.9</c:v>
                </c:pt>
                <c:pt idx="72">
                  <c:v>0.9</c:v>
                </c:pt>
                <c:pt idx="73">
                  <c:v>0.9</c:v>
                </c:pt>
                <c:pt idx="74">
                  <c:v>0.9</c:v>
                </c:pt>
                <c:pt idx="75">
                  <c:v>0.9</c:v>
                </c:pt>
                <c:pt idx="76">
                  <c:v>0.9</c:v>
                </c:pt>
                <c:pt idx="77">
                  <c:v>0.9</c:v>
                </c:pt>
                <c:pt idx="78">
                  <c:v>0.9</c:v>
                </c:pt>
                <c:pt idx="79">
                  <c:v>0.9</c:v>
                </c:pt>
                <c:pt idx="80">
                  <c:v>0.9</c:v>
                </c:pt>
                <c:pt idx="81">
                  <c:v>0.9</c:v>
                </c:pt>
                <c:pt idx="82">
                  <c:v>0.9</c:v>
                </c:pt>
                <c:pt idx="83">
                  <c:v>0.9</c:v>
                </c:pt>
                <c:pt idx="84">
                  <c:v>0.9</c:v>
                </c:pt>
                <c:pt idx="85">
                  <c:v>0.9</c:v>
                </c:pt>
                <c:pt idx="86">
                  <c:v>0.9</c:v>
                </c:pt>
                <c:pt idx="87">
                  <c:v>0.9</c:v>
                </c:pt>
                <c:pt idx="88">
                  <c:v>0.9</c:v>
                </c:pt>
                <c:pt idx="89">
                  <c:v>0.9</c:v>
                </c:pt>
                <c:pt idx="90">
                  <c:v>0.9</c:v>
                </c:pt>
                <c:pt idx="91">
                  <c:v>0.9</c:v>
                </c:pt>
                <c:pt idx="92">
                  <c:v>0.9</c:v>
                </c:pt>
                <c:pt idx="93">
                  <c:v>0.9</c:v>
                </c:pt>
                <c:pt idx="94">
                  <c:v>0.9</c:v>
                </c:pt>
                <c:pt idx="95">
                  <c:v>0.9</c:v>
                </c:pt>
                <c:pt idx="96">
                  <c:v>0.9</c:v>
                </c:pt>
                <c:pt idx="97">
                  <c:v>0.9</c:v>
                </c:pt>
                <c:pt idx="98">
                  <c:v>0.9</c:v>
                </c:pt>
                <c:pt idx="99">
                  <c:v>0.9</c:v>
                </c:pt>
              </c:numCache>
            </c:numRef>
          </c:val>
          <c:smooth val="0"/>
          <c:extLst>
            <c:ext xmlns:c16="http://schemas.microsoft.com/office/drawing/2014/chart" uri="{C3380CC4-5D6E-409C-BE32-E72D297353CC}">
              <c16:uniqueId val="{00000001-F16A-452B-BEBB-BA4406D85AD6}"/>
            </c:ext>
          </c:extLst>
        </c:ser>
        <c:dLbls>
          <c:showLegendKey val="0"/>
          <c:showVal val="0"/>
          <c:showCatName val="0"/>
          <c:showSerName val="0"/>
          <c:showPercent val="0"/>
          <c:showBubbleSize val="0"/>
        </c:dLbls>
        <c:marker val="1"/>
        <c:smooth val="0"/>
        <c:axId val="1820412016"/>
        <c:axId val="1820386576"/>
      </c:lineChart>
      <c:catAx>
        <c:axId val="1820456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820460496"/>
        <c:crosses val="autoZero"/>
        <c:auto val="1"/>
        <c:lblAlgn val="ctr"/>
        <c:lblOffset val="100"/>
        <c:noMultiLvlLbl val="0"/>
      </c:catAx>
      <c:valAx>
        <c:axId val="18204604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e-CH">
                    <a:solidFill>
                      <a:schemeClr val="accent2">
                        <a:lumMod val="60000"/>
                        <a:lumOff val="40000"/>
                      </a:schemeClr>
                    </a:solidFill>
                  </a:rPr>
                  <a:t>CHF/MWh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solidFill>
            <a:schemeClr val="accent2">
              <a:lumMod val="40000"/>
              <a:lumOff val="60000"/>
            </a:schemeClr>
          </a:solid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820456176"/>
        <c:crosses val="autoZero"/>
        <c:crossBetween val="between"/>
        <c:majorUnit val="5"/>
      </c:valAx>
      <c:valAx>
        <c:axId val="1820386576"/>
        <c:scaling>
          <c:orientation val="minMax"/>
          <c:max val="2"/>
          <c:min val="0"/>
        </c:scaling>
        <c:delete val="0"/>
        <c:axPos val="r"/>
        <c:numFmt formatCode="0.00" sourceLinked="1"/>
        <c:majorTickMark val="out"/>
        <c:minorTickMark val="none"/>
        <c:tickLblPos val="nextTo"/>
        <c:spPr>
          <a:solidFill>
            <a:schemeClr val="tx2">
              <a:lumMod val="25000"/>
              <a:lumOff val="75000"/>
            </a:schemeClr>
          </a:solid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820412016"/>
        <c:crosses val="max"/>
        <c:crossBetween val="between"/>
        <c:majorUnit val="0.1"/>
      </c:valAx>
      <c:catAx>
        <c:axId val="1820412016"/>
        <c:scaling>
          <c:orientation val="minMax"/>
        </c:scaling>
        <c:delete val="1"/>
        <c:axPos val="b"/>
        <c:numFmt formatCode="General" sourceLinked="1"/>
        <c:majorTickMark val="out"/>
        <c:minorTickMark val="none"/>
        <c:tickLblPos val="nextTo"/>
        <c:crossAx val="182038657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_rels/drawing3.xml.rels><?xml version="1.0" encoding="UTF-8" standalone="yes"?>
<Relationships xmlns="http://schemas.openxmlformats.org/package/2006/relationships"><Relationship Id="rId1" Type="http://schemas.openxmlformats.org/officeDocument/2006/relationships/image" Target="../media/image1.tmp"/></Relationships>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28576</xdr:rowOff>
    </xdr:from>
    <xdr:to>
      <xdr:col>5</xdr:col>
      <xdr:colOff>463550</xdr:colOff>
      <xdr:row>0</xdr:row>
      <xdr:rowOff>824976</xdr:rowOff>
    </xdr:to>
    <xdr:pic>
      <xdr:nvPicPr>
        <xdr:cNvPr id="3" name="Grafik 2" descr="Bildschirmausschnitt">
          <a:extLst>
            <a:ext uri="{FF2B5EF4-FFF2-40B4-BE49-F238E27FC236}">
              <a16:creationId xmlns:a16="http://schemas.microsoft.com/office/drawing/2014/main" id="{87E99011-0AE6-42C0-A6DB-10D0EFDC7AE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68"/>
        <a:stretch/>
      </xdr:blipFill>
      <xdr:spPr>
        <a:xfrm>
          <a:off x="0" y="28576"/>
          <a:ext cx="7378700" cy="796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142875</xdr:colOff>
      <xdr:row>4</xdr:row>
      <xdr:rowOff>76200</xdr:rowOff>
    </xdr:from>
    <xdr:to>
      <xdr:col>6</xdr:col>
      <xdr:colOff>152400</xdr:colOff>
      <xdr:row>14</xdr:row>
      <xdr:rowOff>0</xdr:rowOff>
    </xdr:to>
    <xdr:cxnSp macro="">
      <xdr:nvCxnSpPr>
        <xdr:cNvPr id="7" name="Gerade Verbindung mit Pfeil 6">
          <a:extLst>
            <a:ext uri="{FF2B5EF4-FFF2-40B4-BE49-F238E27FC236}">
              <a16:creationId xmlns:a16="http://schemas.microsoft.com/office/drawing/2014/main" id="{459421E7-B059-4E26-8A7C-541B051D9B9C}"/>
            </a:ext>
          </a:extLst>
        </xdr:cNvPr>
        <xdr:cNvCxnSpPr/>
      </xdr:nvCxnSpPr>
      <xdr:spPr>
        <a:xfrm>
          <a:off x="6134100" y="1276350"/>
          <a:ext cx="9525" cy="1333500"/>
        </a:xfrm>
        <a:prstGeom prst="straightConnector1">
          <a:avLst/>
        </a:prstGeom>
        <a:noFill/>
        <a:ln w="12700" cap="flat" cmpd="sng" algn="ctr">
          <a:solidFill>
            <a:sysClr val="window" lastClr="FFFFFF">
              <a:lumMod val="50000"/>
            </a:sysClr>
          </a:solidFill>
          <a:prstDash val="solid"/>
          <a:miter lim="800000"/>
          <a:tailEnd type="triangle"/>
        </a:ln>
        <a:effectLst/>
      </xdr:spPr>
    </xdr:cxnSp>
    <xdr:clientData/>
  </xdr:twoCellAnchor>
  <xdr:twoCellAnchor>
    <xdr:from>
      <xdr:col>5</xdr:col>
      <xdr:colOff>9525</xdr:colOff>
      <xdr:row>4</xdr:row>
      <xdr:rowOff>76200</xdr:rowOff>
    </xdr:from>
    <xdr:to>
      <xdr:col>6</xdr:col>
      <xdr:colOff>142875</xdr:colOff>
      <xdr:row>4</xdr:row>
      <xdr:rowOff>76200</xdr:rowOff>
    </xdr:to>
    <xdr:cxnSp macro="">
      <xdr:nvCxnSpPr>
        <xdr:cNvPr id="8" name="Gerader Verbinder 7">
          <a:extLst>
            <a:ext uri="{FF2B5EF4-FFF2-40B4-BE49-F238E27FC236}">
              <a16:creationId xmlns:a16="http://schemas.microsoft.com/office/drawing/2014/main" id="{D781F7E2-7D95-4105-B827-4E78707DA34A}"/>
            </a:ext>
          </a:extLst>
        </xdr:cNvPr>
        <xdr:cNvCxnSpPr/>
      </xdr:nvCxnSpPr>
      <xdr:spPr>
        <a:xfrm>
          <a:off x="5429250" y="1276350"/>
          <a:ext cx="704850" cy="0"/>
        </a:xfrm>
        <a:prstGeom prst="line">
          <a:avLst/>
        </a:prstGeom>
        <a:noFill/>
        <a:ln w="12700" cap="flat" cmpd="sng" algn="ctr">
          <a:solidFill>
            <a:sysClr val="window" lastClr="FFFFFF">
              <a:lumMod val="50000"/>
            </a:sysClr>
          </a:solidFill>
          <a:prstDash val="solid"/>
          <a:miter lim="800000"/>
        </a:ln>
        <a:effectLst/>
      </xdr:spPr>
    </xdr:cxnSp>
    <xdr:clientData/>
  </xdr:twoCellAnchor>
  <xdr:twoCellAnchor>
    <xdr:from>
      <xdr:col>5</xdr:col>
      <xdr:colOff>0</xdr:colOff>
      <xdr:row>9</xdr:row>
      <xdr:rowOff>114300</xdr:rowOff>
    </xdr:from>
    <xdr:to>
      <xdr:col>6</xdr:col>
      <xdr:colOff>152400</xdr:colOff>
      <xdr:row>9</xdr:row>
      <xdr:rowOff>114300</xdr:rowOff>
    </xdr:to>
    <xdr:cxnSp macro="">
      <xdr:nvCxnSpPr>
        <xdr:cNvPr id="9" name="Gerader Verbinder 8">
          <a:extLst>
            <a:ext uri="{FF2B5EF4-FFF2-40B4-BE49-F238E27FC236}">
              <a16:creationId xmlns:a16="http://schemas.microsoft.com/office/drawing/2014/main" id="{485D98F4-D555-4653-88D5-AB1FEC77F05F}"/>
            </a:ext>
          </a:extLst>
        </xdr:cNvPr>
        <xdr:cNvCxnSpPr/>
      </xdr:nvCxnSpPr>
      <xdr:spPr>
        <a:xfrm>
          <a:off x="5419725" y="1828800"/>
          <a:ext cx="723900" cy="0"/>
        </a:xfrm>
        <a:prstGeom prst="line">
          <a:avLst/>
        </a:prstGeom>
        <a:noFill/>
        <a:ln w="12700" cap="flat" cmpd="sng" algn="ctr">
          <a:solidFill>
            <a:sysClr val="window" lastClr="FFFFFF">
              <a:lumMod val="50000"/>
            </a:sysClr>
          </a:solidFill>
          <a:prstDash val="solid"/>
          <a:miter lim="800000"/>
        </a:ln>
        <a:effectLst/>
      </xdr:spPr>
    </xdr:cxnSp>
    <xdr:clientData/>
  </xdr:twoCellAnchor>
  <xdr:twoCellAnchor>
    <xdr:from>
      <xdr:col>5</xdr:col>
      <xdr:colOff>0</xdr:colOff>
      <xdr:row>29</xdr:row>
      <xdr:rowOff>95250</xdr:rowOff>
    </xdr:from>
    <xdr:to>
      <xdr:col>6</xdr:col>
      <xdr:colOff>161925</xdr:colOff>
      <xdr:row>29</xdr:row>
      <xdr:rowOff>95250</xdr:rowOff>
    </xdr:to>
    <xdr:cxnSp macro="">
      <xdr:nvCxnSpPr>
        <xdr:cNvPr id="10" name="Gerader Verbinder 9">
          <a:extLst>
            <a:ext uri="{FF2B5EF4-FFF2-40B4-BE49-F238E27FC236}">
              <a16:creationId xmlns:a16="http://schemas.microsoft.com/office/drawing/2014/main" id="{7580EBF7-E006-4E9C-9BC2-80ECAAD64324}"/>
            </a:ext>
          </a:extLst>
        </xdr:cNvPr>
        <xdr:cNvCxnSpPr/>
      </xdr:nvCxnSpPr>
      <xdr:spPr>
        <a:xfrm>
          <a:off x="5419725" y="5248275"/>
          <a:ext cx="733425" cy="0"/>
        </a:xfrm>
        <a:prstGeom prst="line">
          <a:avLst/>
        </a:prstGeom>
        <a:noFill/>
        <a:ln w="12700" cap="flat" cmpd="sng" algn="ctr">
          <a:solidFill>
            <a:sysClr val="window" lastClr="FFFFFF">
              <a:lumMod val="50000"/>
            </a:sysClr>
          </a:solidFill>
          <a:prstDash val="solid"/>
          <a:miter lim="800000"/>
        </a:ln>
        <a:effectLst/>
      </xdr:spPr>
    </xdr:cxnSp>
    <xdr:clientData/>
  </xdr:twoCellAnchor>
  <xdr:twoCellAnchor>
    <xdr:from>
      <xdr:col>6</xdr:col>
      <xdr:colOff>152400</xdr:colOff>
      <xdr:row>29</xdr:row>
      <xdr:rowOff>95250</xdr:rowOff>
    </xdr:from>
    <xdr:to>
      <xdr:col>6</xdr:col>
      <xdr:colOff>152400</xdr:colOff>
      <xdr:row>30</xdr:row>
      <xdr:rowOff>152400</xdr:rowOff>
    </xdr:to>
    <xdr:cxnSp macro="">
      <xdr:nvCxnSpPr>
        <xdr:cNvPr id="11" name="Gerade Verbindung mit Pfeil 10">
          <a:extLst>
            <a:ext uri="{FF2B5EF4-FFF2-40B4-BE49-F238E27FC236}">
              <a16:creationId xmlns:a16="http://schemas.microsoft.com/office/drawing/2014/main" id="{CC3EB61A-3853-4E8E-AD60-5C01F1E2915A}"/>
            </a:ext>
          </a:extLst>
        </xdr:cNvPr>
        <xdr:cNvCxnSpPr/>
      </xdr:nvCxnSpPr>
      <xdr:spPr>
        <a:xfrm>
          <a:off x="6143625" y="5248275"/>
          <a:ext cx="0" cy="276225"/>
        </a:xfrm>
        <a:prstGeom prst="straightConnector1">
          <a:avLst/>
        </a:prstGeom>
        <a:noFill/>
        <a:ln w="12700" cap="flat" cmpd="sng" algn="ctr">
          <a:solidFill>
            <a:sysClr val="window" lastClr="FFFFFF">
              <a:lumMod val="50000"/>
            </a:sysClr>
          </a:solidFill>
          <a:prstDash val="solid"/>
          <a:miter lim="800000"/>
          <a:tailEnd type="triangle"/>
        </a:ln>
        <a:effectLst/>
      </xdr:spPr>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13607</xdr:colOff>
      <xdr:row>1</xdr:row>
      <xdr:rowOff>23132</xdr:rowOff>
    </xdr:from>
    <xdr:to>
      <xdr:col>7</xdr:col>
      <xdr:colOff>4101114</xdr:colOff>
      <xdr:row>1</xdr:row>
      <xdr:rowOff>925853</xdr:rowOff>
    </xdr:to>
    <xdr:pic>
      <xdr:nvPicPr>
        <xdr:cNvPr id="2" name="Grafik 1" descr="Bildschirmausschnitt">
          <a:extLst>
            <a:ext uri="{FF2B5EF4-FFF2-40B4-BE49-F238E27FC236}">
              <a16:creationId xmlns:a16="http://schemas.microsoft.com/office/drawing/2014/main" id="{7E908241-9F8F-4256-8D21-6101230083C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68"/>
        <a:stretch/>
      </xdr:blipFill>
      <xdr:spPr>
        <a:xfrm>
          <a:off x="13607" y="423182"/>
          <a:ext cx="8621407" cy="902721"/>
        </a:xfrm>
        <a:prstGeom prst="rect">
          <a:avLst/>
        </a:prstGeom>
      </xdr:spPr>
    </xdr:pic>
    <xdr:clientData/>
  </xdr:twoCellAnchor>
  <xdr:oneCellAnchor>
    <xdr:from>
      <xdr:col>24</xdr:col>
      <xdr:colOff>443345</xdr:colOff>
      <xdr:row>5</xdr:row>
      <xdr:rowOff>105641</xdr:rowOff>
    </xdr:from>
    <xdr:ext cx="65" cy="172227"/>
    <xdr:sp macro="" textlink="">
      <xdr:nvSpPr>
        <xdr:cNvPr id="3" name="Textfeld 2">
          <a:extLst>
            <a:ext uri="{FF2B5EF4-FFF2-40B4-BE49-F238E27FC236}">
              <a16:creationId xmlns:a16="http://schemas.microsoft.com/office/drawing/2014/main" id="{AD09A6A0-CF14-45B5-94D6-0C17A25E190D}"/>
            </a:ext>
          </a:extLst>
        </xdr:cNvPr>
        <xdr:cNvSpPr txBox="1"/>
      </xdr:nvSpPr>
      <xdr:spPr>
        <a:xfrm>
          <a:off x="24693995" y="19534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de-CH" sz="11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11</xdr:col>
      <xdr:colOff>465672</xdr:colOff>
      <xdr:row>98</xdr:row>
      <xdr:rowOff>0</xdr:rowOff>
    </xdr:from>
    <xdr:to>
      <xdr:col>11</xdr:col>
      <xdr:colOff>479783</xdr:colOff>
      <xdr:row>109</xdr:row>
      <xdr:rowOff>141111</xdr:rowOff>
    </xdr:to>
    <xdr:cxnSp macro="">
      <xdr:nvCxnSpPr>
        <xdr:cNvPr id="3" name="Gerader Verbinder 2">
          <a:extLst>
            <a:ext uri="{FF2B5EF4-FFF2-40B4-BE49-F238E27FC236}">
              <a16:creationId xmlns:a16="http://schemas.microsoft.com/office/drawing/2014/main" id="{BE17A556-3FEE-B208-A1BA-48FE9870F33A}"/>
            </a:ext>
          </a:extLst>
        </xdr:cNvPr>
        <xdr:cNvCxnSpPr/>
      </xdr:nvCxnSpPr>
      <xdr:spPr>
        <a:xfrm flipH="1">
          <a:off x="12897561" y="19692056"/>
          <a:ext cx="14111" cy="1926166"/>
        </a:xfrm>
        <a:prstGeom prst="line">
          <a:avLst/>
        </a:prstGeom>
        <a:ln w="190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11</xdr:col>
      <xdr:colOff>465672</xdr:colOff>
      <xdr:row>98</xdr:row>
      <xdr:rowOff>0</xdr:rowOff>
    </xdr:from>
    <xdr:to>
      <xdr:col>11</xdr:col>
      <xdr:colOff>479783</xdr:colOff>
      <xdr:row>109</xdr:row>
      <xdr:rowOff>141111</xdr:rowOff>
    </xdr:to>
    <xdr:cxnSp macro="">
      <xdr:nvCxnSpPr>
        <xdr:cNvPr id="2" name="Gerader Verbinder 1">
          <a:extLst>
            <a:ext uri="{FF2B5EF4-FFF2-40B4-BE49-F238E27FC236}">
              <a16:creationId xmlns:a16="http://schemas.microsoft.com/office/drawing/2014/main" id="{1C33449F-EF4C-4C2D-A04D-5907504E020E}"/>
            </a:ext>
          </a:extLst>
        </xdr:cNvPr>
        <xdr:cNvCxnSpPr/>
      </xdr:nvCxnSpPr>
      <xdr:spPr>
        <a:xfrm flipH="1">
          <a:off x="15181797" y="19297650"/>
          <a:ext cx="14111" cy="1950861"/>
        </a:xfrm>
        <a:prstGeom prst="line">
          <a:avLst/>
        </a:prstGeom>
        <a:ln w="190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465672</xdr:colOff>
      <xdr:row>89</xdr:row>
      <xdr:rowOff>0</xdr:rowOff>
    </xdr:from>
    <xdr:to>
      <xdr:col>11</xdr:col>
      <xdr:colOff>479783</xdr:colOff>
      <xdr:row>100</xdr:row>
      <xdr:rowOff>141111</xdr:rowOff>
    </xdr:to>
    <xdr:cxnSp macro="">
      <xdr:nvCxnSpPr>
        <xdr:cNvPr id="2" name="Gerader Verbinder 1">
          <a:extLst>
            <a:ext uri="{FF2B5EF4-FFF2-40B4-BE49-F238E27FC236}">
              <a16:creationId xmlns:a16="http://schemas.microsoft.com/office/drawing/2014/main" id="{6FADB353-806B-4F3F-9947-0EC31CB2B31F}"/>
            </a:ext>
          </a:extLst>
        </xdr:cNvPr>
        <xdr:cNvCxnSpPr/>
      </xdr:nvCxnSpPr>
      <xdr:spPr>
        <a:xfrm flipH="1">
          <a:off x="14232472" y="18256250"/>
          <a:ext cx="14111" cy="1906411"/>
        </a:xfrm>
        <a:prstGeom prst="line">
          <a:avLst/>
        </a:prstGeom>
        <a:ln w="19050"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1123949</xdr:colOff>
      <xdr:row>4</xdr:row>
      <xdr:rowOff>142874</xdr:rowOff>
    </xdr:from>
    <xdr:to>
      <xdr:col>55</xdr:col>
      <xdr:colOff>190499</xdr:colOff>
      <xdr:row>40</xdr:row>
      <xdr:rowOff>38100</xdr:rowOff>
    </xdr:to>
    <xdr:graphicFrame macro="">
      <xdr:nvGraphicFramePr>
        <xdr:cNvPr id="2" name="Diagramm 1">
          <a:extLst>
            <a:ext uri="{FF2B5EF4-FFF2-40B4-BE49-F238E27FC236}">
              <a16:creationId xmlns:a16="http://schemas.microsoft.com/office/drawing/2014/main" id="{5683C99E-2341-4750-95BA-27834A4085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O:\WK\08_Mitarbeiterspezifische%20Ordner\15_put\02_F&#246;rderinstrumente\02_IB\NPV-Tool\Aktualisierung%202024%20(real%202023)\IB-KWK.24.XXX_Bewertungsmodell_NAM-INFLEX_V7.0.xlsx" TargetMode="External"/><Relationship Id="rId1" Type="http://schemas.openxmlformats.org/officeDocument/2006/relationships/externalLinkPath" Target="file:///O:\WK\08_Mitarbeiterspezifische%20Ordner\15_put\02_F&#246;rderinstrumente\02_IB\NPV-Tool\Aktualisierung%202024%20(real%202023)\IB-KWK.24.XXX_Bewertungsmodell_NAM-INFLEX_V7.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DEBUT, INIZIO"/>
      <sheetName val="1.1 Allgemein"/>
      <sheetName val="1.2 Strompreise"/>
      <sheetName val="2.1 Kraftwerk allgemein"/>
      <sheetName val="2.2 Produktion Mtl."/>
      <sheetName val="2.3 Weitere Erträge"/>
      <sheetName val="2.4 Pumpen Mtl."/>
      <sheetName val="2.5 OPEX"/>
      <sheetName val="2.6 CAPEX"/>
      <sheetName val="3.1 Abschreibung"/>
      <sheetName val="3.2 Modell"/>
      <sheetName val="4.1 Auswertungen"/>
      <sheetName val="5.1 Strompreise EXX u. Szenario"/>
      <sheetName val="d_f_i"/>
      <sheetName val="Dropdowns"/>
    </sheetNames>
    <sheetDataSet>
      <sheetData sheetId="0"/>
      <sheetData sheetId="1">
        <row r="22">
          <cell r="I22">
            <v>2024</v>
          </cell>
        </row>
      </sheetData>
      <sheetData sheetId="2"/>
      <sheetData sheetId="3">
        <row r="16">
          <cell r="F16">
            <v>2100</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swissgrid.ch/de/home/newsroom/newsfeed/20240829-01.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mailto:wasserkraftfoerderung@bfe.admin.ch" TargetMode="External"/><Relationship Id="rId13" Type="http://schemas.openxmlformats.org/officeDocument/2006/relationships/drawing" Target="../drawings/drawing1.xml"/><Relationship Id="rId3" Type="http://schemas.openxmlformats.org/officeDocument/2006/relationships/hyperlink" Target="https://www.fedlex.admin.ch/eli/cc/2017/766/de" TargetMode="External"/><Relationship Id="rId7" Type="http://schemas.openxmlformats.org/officeDocument/2006/relationships/hyperlink" Target="https://www.fedlex.admin.ch/eli/cc/2017/766/de" TargetMode="External"/><Relationship Id="rId12" Type="http://schemas.openxmlformats.org/officeDocument/2006/relationships/customProperty" Target="../customProperty1.bin"/><Relationship Id="rId2" Type="http://schemas.openxmlformats.org/officeDocument/2006/relationships/hyperlink" Target="https://www.fedlex.admin.ch/eli/cc/2017/762/de" TargetMode="External"/><Relationship Id="rId1" Type="http://schemas.openxmlformats.org/officeDocument/2006/relationships/hyperlink" Target="https://www.bfe.admin.ch/bfe/fr/home/office-federal-de-lenergie/transmission-electronique-des-affaires-et-des-documents.html" TargetMode="External"/><Relationship Id="rId6" Type="http://schemas.openxmlformats.org/officeDocument/2006/relationships/hyperlink" Target="https://www.fedlex.admin.ch/eli/cc/2017/766/de" TargetMode="External"/><Relationship Id="rId11" Type="http://schemas.openxmlformats.org/officeDocument/2006/relationships/printerSettings" Target="../printerSettings/printerSettings2.bin"/><Relationship Id="rId5" Type="http://schemas.openxmlformats.org/officeDocument/2006/relationships/hyperlink" Target="https://www.bfe.admin.ch/bfe/de/home/foerderung/erneuerbare-energien/foerderung-wasserkraft/gleitende-marktpraemie-wasserkraft.html" TargetMode="External"/><Relationship Id="rId10" Type="http://schemas.openxmlformats.org/officeDocument/2006/relationships/hyperlink" Target="https://www.bfe.admin.ch/bfe/de/home/das-bfe/elektronische-uebermittlung-von-geschaeften-und-dokumenten.html" TargetMode="External"/><Relationship Id="rId4" Type="http://schemas.openxmlformats.org/officeDocument/2006/relationships/hyperlink" Target="https://www.bfe.admin.ch/bfe/de/home/foerderung/erneuerbare-energien/foerderung-wasserkraft/investitionsbeitraege-wasserkraft.html" TargetMode="External"/><Relationship Id="rId9" Type="http://schemas.openxmlformats.org/officeDocument/2006/relationships/hyperlink" Target="https://www.bfe.admin.ch/bfe/it/home/ufficio-federale-dell-energia/trasmissione-elettronica-di-transazioni-e-documenti.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37387-CEC0-4015-BE11-38006BAB1960}">
  <sheetPr>
    <tabColor rgb="FFFFFFCC"/>
  </sheetPr>
  <dimension ref="A1:G60"/>
  <sheetViews>
    <sheetView workbookViewId="0">
      <selection activeCell="E23" sqref="E23"/>
    </sheetView>
  </sheetViews>
  <sheetFormatPr baseColWidth="10" defaultRowHeight="12.75" x14ac:dyDescent="0.2"/>
  <cols>
    <col min="1" max="1" width="41.140625" style="1" customWidth="1"/>
    <col min="2" max="2" width="37.140625" customWidth="1"/>
    <col min="3" max="3" width="22" bestFit="1" customWidth="1"/>
    <col min="4" max="5" width="20.7109375" customWidth="1"/>
    <col min="6" max="6" width="26" customWidth="1"/>
  </cols>
  <sheetData>
    <row r="1" spans="1:7" x14ac:dyDescent="0.2">
      <c r="A1" s="12" t="str">
        <f ca="1">OFFSET(Sprachen!A731,0,'START, DÉBUT, INIZIO'!$D$4-1,1,1)</f>
        <v>Investitionsstyp</v>
      </c>
    </row>
    <row r="2" spans="1:7" x14ac:dyDescent="0.2">
      <c r="A2" s="233" t="str">
        <f ca="1">OFFSET(Sprachen!A732,0,'START, DÉBUT, INIZIO'!$D$4-1,1,1)</f>
        <v>Neuanlage</v>
      </c>
    </row>
    <row r="3" spans="1:7" x14ac:dyDescent="0.2">
      <c r="A3" s="233" t="str">
        <f ca="1">OFFSET(Sprachen!A733,0,'START, DÉBUT, INIZIO'!$D$4-1,1,1)</f>
        <v>Erhebliche Erweiterung</v>
      </c>
    </row>
    <row r="4" spans="1:7" x14ac:dyDescent="0.2">
      <c r="A4" s="233" t="str">
        <f ca="1">OFFSET(Sprachen!A734,0,'START, DÉBUT, INIZIO'!$D$4-1,1,1)</f>
        <v>Erhebliche Erneuerung</v>
      </c>
    </row>
    <row r="6" spans="1:7" x14ac:dyDescent="0.2">
      <c r="A6" s="12" t="str">
        <f ca="1">OFFSET(Sprachen!A738,0,'START, DÉBUT, INIZIO'!$D$4-1,1,1)</f>
        <v>Differenzierung Steuerbarkeit und Grösse</v>
      </c>
      <c r="B6" s="1"/>
      <c r="C6" s="13" t="str">
        <f ca="1">A2</f>
        <v>Neuanlage</v>
      </c>
      <c r="D6" s="13" t="str">
        <f ca="1">A3</f>
        <v>Erhebliche Erweiterung</v>
      </c>
      <c r="E6" s="13" t="str">
        <f ca="1">A4</f>
        <v>Erhebliche Erneuerung</v>
      </c>
    </row>
    <row r="7" spans="1:7" x14ac:dyDescent="0.2">
      <c r="A7" s="234" t="str">
        <f ca="1">OFFSET(Sprachen!A739,0,'START, DÉBUT, INIZIO'!$D$4-1,1,1)</f>
        <v>steuerbar &amp; &gt; 3 MWbr</v>
      </c>
      <c r="B7" s="3" t="str">
        <f ca="1">A7</f>
        <v>steuerbar &amp; &gt; 3 MWbr</v>
      </c>
      <c r="C7" s="232">
        <v>1</v>
      </c>
      <c r="D7" s="232">
        <v>2</v>
      </c>
      <c r="E7" s="232">
        <v>3</v>
      </c>
      <c r="F7" s="14">
        <f>'START, DÉBUT, INIZIO'!C20</f>
        <v>0</v>
      </c>
    </row>
    <row r="8" spans="1:7" x14ac:dyDescent="0.2">
      <c r="A8" s="234" t="str">
        <f ca="1">OFFSET(Sprachen!A740,0,'START, DÉBUT, INIZIO'!$D$4-1,1,1)</f>
        <v>nicht steuerbar &amp; &gt; 3 MWbr</v>
      </c>
      <c r="B8" s="3" t="str">
        <f ca="1">A8</f>
        <v>nicht steuerbar &amp; &gt; 3 MWbr</v>
      </c>
      <c r="C8" s="232">
        <v>4</v>
      </c>
      <c r="D8" s="232">
        <v>5</v>
      </c>
      <c r="E8" s="232">
        <v>6</v>
      </c>
      <c r="F8" s="14">
        <f>'START, DÉBUT, INIZIO'!C19</f>
        <v>0</v>
      </c>
    </row>
    <row r="9" spans="1:7" x14ac:dyDescent="0.2">
      <c r="A9" s="234" t="str">
        <f ca="1">OFFSET(Sprachen!A741,0,'START, DÉBUT, INIZIO'!$D$4-1,1,1)</f>
        <v>&lt;= 3 MWbr</v>
      </c>
      <c r="B9" s="3" t="str">
        <f ca="1">A9</f>
        <v>&lt;= 3 MWbr</v>
      </c>
      <c r="C9" s="232">
        <v>4</v>
      </c>
      <c r="D9" s="232">
        <v>5</v>
      </c>
      <c r="E9" s="232">
        <v>6</v>
      </c>
      <c r="F9" s="15" t="e">
        <f ca="1">INDEX($B$6:$E$9,MATCH($F$7,$B$6:$B$9,0),MATCH($F$8,$B$6:$E$6,0))</f>
        <v>#N/A</v>
      </c>
      <c r="G9" s="477"/>
    </row>
    <row r="11" spans="1:7" x14ac:dyDescent="0.2">
      <c r="A11" s="12" t="str">
        <f ca="1">OFFSET(Sprachen!A742,0,'START, DÉBUT, INIZIO'!$D$4-1,1,1)</f>
        <v>Kraftwerkstyp</v>
      </c>
    </row>
    <row r="12" spans="1:7" x14ac:dyDescent="0.2">
      <c r="A12" s="233" t="str">
        <f ca="1">OFFSET(Sprachen!A743,0,'START, DÉBUT, INIZIO'!$D$4-1,1,1)</f>
        <v>Laufwasserkraftwerk</v>
      </c>
      <c r="B12" s="280" t="s">
        <v>118</v>
      </c>
      <c r="C12" s="1" t="str">
        <f ca="1">OFFSET(Sprachen!A732,0,'START, DÉBUT, INIZIO'!$D$4-1,1,1)</f>
        <v>Neuanlage</v>
      </c>
      <c r="D12" s="1" t="str">
        <f ca="1">OFFSET(Sprachen!A770,0,'START, DÉBUT, INIZIO'!$D$4-1,1,1)</f>
        <v>Alle Herkunftsnachweis (HKN)</v>
      </c>
    </row>
    <row r="13" spans="1:7" x14ac:dyDescent="0.2">
      <c r="A13" s="233" t="str">
        <f ca="1">OFFSET(Sprachen!A744,0,'START, DÉBUT, INIZIO'!$D$4-1,1,1)</f>
        <v>Speicherkraftwerk</v>
      </c>
      <c r="C13" s="1" t="str">
        <f ca="1">OFFSET(Sprachen!A733,0,'START, DÉBUT, INIZIO'!$D$4-1,1,1)</f>
        <v>Erhebliche Erweiterung</v>
      </c>
      <c r="D13" s="1" t="str">
        <f ca="1">OFFSET(Sprachen!A771,0,'START, DÉBUT, INIZIO'!$D$4-1,1,1)</f>
        <v>die Herkunftsnachweise die für die erweiterte Anlage ausgestellt werden, abzüglich der Herkunftsnachweise, die für die Anlage vor der Erweiterung ausgestellt worden wären</v>
      </c>
    </row>
    <row r="14" spans="1:7" x14ac:dyDescent="0.2">
      <c r="A14" s="233" t="str">
        <f ca="1">OFFSET(Sprachen!A745,0,'START, DÉBUT, INIZIO'!$D$4-1,1,1)</f>
        <v>Pumpspeicherkraftwerk</v>
      </c>
      <c r="C14" s="1" t="str">
        <f ca="1">OFFSET(Sprachen!A734,0,'START, DÉBUT, INIZIO'!$D$4-1,1,1)</f>
        <v>Erhebliche Erneuerung</v>
      </c>
      <c r="D14" s="1" t="str">
        <f ca="1">OFFSET(Sprachen!A772,0,'START, DÉBUT, INIZIO'!$D$4-1,1,1)</f>
        <v>die Herkunftsnachweise, die für die erneuerte Anlage ausgestellt werden, abzüglich der Herkunftsnachweise, die für die nicht erneuerten Anlagenteile ausgestellt worden wären.</v>
      </c>
    </row>
    <row r="16" spans="1:7" x14ac:dyDescent="0.2">
      <c r="A16" s="12" t="str">
        <f ca="1">OFFSET(Sprachen!A766,0,'START, DÉBUT, INIZIO'!$D$4-1,1,1)</f>
        <v>Typ Abrechnungsjahr</v>
      </c>
    </row>
    <row r="17" spans="1:7" x14ac:dyDescent="0.2">
      <c r="A17" s="234" t="str">
        <f ca="1">OFFSET(Sprachen!A767,0,'START, DÉBUT, INIZIO'!$D$4-1,1,1)</f>
        <v>Kalenderjahr</v>
      </c>
    </row>
    <row r="18" spans="1:7" x14ac:dyDescent="0.2">
      <c r="A18" s="234" t="str">
        <f ca="1">OFFSET(Sprachen!A768,0,'START, DÉBUT, INIZIO'!$D$4-1,1,1)</f>
        <v>Hydrologisches Jahr</v>
      </c>
    </row>
    <row r="19" spans="1:7" x14ac:dyDescent="0.2">
      <c r="F19" s="477"/>
      <c r="G19" s="476"/>
    </row>
    <row r="20" spans="1:7" x14ac:dyDescent="0.2">
      <c r="A20" s="12" t="str">
        <f ca="1">OFFSET(Sprachen!A766,0,'START, DÉBUT, INIZIO'!$D$4-1,1,1)</f>
        <v>Typ Abrechnungsjahr</v>
      </c>
      <c r="C20" s="12" t="str">
        <f ca="1">OFFSET(Sprachen!A773,0,'START, DÉBUT, INIZIO'!$D$4-1,1,1)</f>
        <v>JA/NEIN</v>
      </c>
      <c r="F20" s="477"/>
    </row>
    <row r="21" spans="1:7" x14ac:dyDescent="0.2">
      <c r="A21" s="233" t="str">
        <f ca="1">OFFSET(Sprachen!A767,0,'START, DÉBUT, INIZIO'!$D$4-1,1,1)</f>
        <v>Kalenderjahr</v>
      </c>
      <c r="C21" s="233" t="str">
        <f ca="1">OFFSET(Sprachen!A774,0,'START, DÉBUT, INIZIO'!$D$4-1,1,1)</f>
        <v>JA</v>
      </c>
      <c r="F21" s="477"/>
    </row>
    <row r="22" spans="1:7" x14ac:dyDescent="0.2">
      <c r="A22" s="233" t="str">
        <f ca="1">OFFSET(Sprachen!A768,0,'START, DÉBUT, INIZIO'!$D$4-1,1,1)</f>
        <v>Hydrologisches Jahr</v>
      </c>
      <c r="C22" s="233" t="str">
        <f ca="1">OFFSET(Sprachen!A775,0,'START, DÉBUT, INIZIO'!$D$4-1,1,1)</f>
        <v>NEIN</v>
      </c>
      <c r="F22" s="477"/>
    </row>
    <row r="23" spans="1:7" x14ac:dyDescent="0.2">
      <c r="A23"/>
      <c r="F23" s="477"/>
    </row>
    <row r="24" spans="1:7" x14ac:dyDescent="0.2">
      <c r="A24" s="12" t="str">
        <f ca="1">OFFSET(Sprachen!A769,0,'START, DÉBUT, INIZIO'!$D$4-1,1,1)</f>
        <v>Sprache</v>
      </c>
      <c r="F24" s="477"/>
    </row>
    <row r="25" spans="1:7" x14ac:dyDescent="0.2">
      <c r="A25" s="233" t="s">
        <v>32</v>
      </c>
    </row>
    <row r="26" spans="1:7" x14ac:dyDescent="0.2">
      <c r="A26" s="233" t="s">
        <v>39</v>
      </c>
      <c r="F26" s="476"/>
    </row>
    <row r="27" spans="1:7" x14ac:dyDescent="0.2">
      <c r="A27" s="233" t="s">
        <v>40</v>
      </c>
      <c r="F27" s="476"/>
    </row>
    <row r="28" spans="1:7" x14ac:dyDescent="0.2">
      <c r="F28" s="476"/>
    </row>
    <row r="29" spans="1:7" x14ac:dyDescent="0.2">
      <c r="A29" s="12" t="str">
        <f ca="1">OFFSET(Sprachen!A728,0,'START, DÉBUT, INIZIO'!$D$4-1,1,1)</f>
        <v>Gesuch um</v>
      </c>
      <c r="F29" s="476"/>
    </row>
    <row r="30" spans="1:7" x14ac:dyDescent="0.2">
      <c r="A30" s="233" t="str">
        <f ca="1">OFFSET(Sprachen!A729,0,'START, DÉBUT, INIZIO'!$D$4-1,1,1)</f>
        <v>Gleitende Marktprämie</v>
      </c>
      <c r="F30" s="476"/>
    </row>
    <row r="31" spans="1:7" x14ac:dyDescent="0.2">
      <c r="A31" s="233" t="str">
        <f ca="1">OFFSET(Sprachen!A730,0,'START, DÉBUT, INIZIO'!$D$4-1,1,1)</f>
        <v>Gleitende Marktprämie und Investitionsbeitrag (Entscheidung später)</v>
      </c>
      <c r="F31" s="476"/>
    </row>
    <row r="33" spans="1:1" x14ac:dyDescent="0.2">
      <c r="A33" s="12" t="str">
        <f ca="1">OFFSET(Sprachen!A735,0,'START, DÉBUT, INIZIO'!$D$4-1,1,1)</f>
        <v>Gross- / Kleinwasserkraft</v>
      </c>
    </row>
    <row r="34" spans="1:1" x14ac:dyDescent="0.2">
      <c r="A34" s="233" t="str">
        <f ca="1">OFFSET(Sprachen!A736,0,'START, DÉBUT, INIZIO'!$D$4-1,1,1)</f>
        <v>Grosswasserkraftanlage (Leistung &gt; 10 MWbr)</v>
      </c>
    </row>
    <row r="35" spans="1:1" x14ac:dyDescent="0.2">
      <c r="A35" s="233" t="str">
        <f ca="1">OFFSET(Sprachen!A737,0,'START, DÉBUT, INIZIO'!$D$4-1,1,1)</f>
        <v>Kleinwasserkraftanlage (Leistung &lt;= 10 MWbr)</v>
      </c>
    </row>
    <row r="37" spans="1:1" x14ac:dyDescent="0.2">
      <c r="A37" s="12" t="str">
        <f ca="1">OFFSET(Sprachen!A746,0,'START, DÉBUT, INIZIO'!$D$4-1,1,1)</f>
        <v>Baureife</v>
      </c>
    </row>
    <row r="38" spans="1:1" x14ac:dyDescent="0.2">
      <c r="A38" s="233" t="str">
        <f ca="1">OFFSET(Sprachen!A747,0,'START, DÉBUT, INIZIO'!$D$4-1,1,1)</f>
        <v>Die rechtskräftige Baubewilligung liegt vor</v>
      </c>
    </row>
    <row r="39" spans="1:1" x14ac:dyDescent="0.2">
      <c r="A39" s="233" t="str">
        <f ca="1">OFFSET(Sprachen!A748,0,'START, DÉBUT, INIZIO'!$D$4-1,1,1)</f>
        <v>Eine Baubewilligung ist nicht erforderlich, das Projekt ist baureif</v>
      </c>
    </row>
    <row r="41" spans="1:1" x14ac:dyDescent="0.2">
      <c r="A41" s="12" t="str">
        <f ca="1">OFFSET(Sprachen!A749,0,'START, DÉBUT, INIZIO'!$D$4-1,1,1)</f>
        <v>Früherer Baubeginn</v>
      </c>
    </row>
    <row r="42" spans="1:1" x14ac:dyDescent="0.2">
      <c r="A42" s="233" t="str">
        <f ca="1">OFFSET(Sprachen!A750,0,'START, DÉBUT, INIZIO'!$D$4-1,1,1)</f>
        <v>Ich beantrage die Bewilligung des früheren Baubeginns</v>
      </c>
    </row>
    <row r="43" spans="1:1" x14ac:dyDescent="0.2">
      <c r="A43" s="233" t="str">
        <f ca="1">OFFSET(Sprachen!A751,0,'START, DÉBUT, INIZIO'!$D$4-1,1,1)</f>
        <v>Ich beantrage keine Bewilligung des früheren Baubeginns</v>
      </c>
    </row>
    <row r="45" spans="1:1" x14ac:dyDescent="0.2">
      <c r="A45" s="12" t="s">
        <v>1568</v>
      </c>
    </row>
    <row r="46" spans="1:1" x14ac:dyDescent="0.2">
      <c r="A46" s="233" t="str">
        <f ca="1">OFFSET(Sprachen!A753,0,'START, DÉBUT, INIZIO'!$D$4-1,1,1)</f>
        <v>beantragt</v>
      </c>
    </row>
    <row r="47" spans="1:1" x14ac:dyDescent="0.2">
      <c r="A47" s="233" t="str">
        <f ca="1">OFFSET(Sprachen!A754,0,'START, DÉBUT, INIZIO'!$D$4-1,1,1)</f>
        <v>gewährt</v>
      </c>
    </row>
    <row r="48" spans="1:1" x14ac:dyDescent="0.2">
      <c r="A48" s="233" t="str">
        <f ca="1">OFFSET(Sprachen!A755,0,'START, DÉBUT, INIZIO'!$D$4-1,1,1)</f>
        <v>zugesichert</v>
      </c>
    </row>
    <row r="49" spans="1:1" x14ac:dyDescent="0.2">
      <c r="A49" s="233" t="str">
        <f ca="1">OFFSET(Sprachen!A756,0,'START, DÉBUT, INIZIO'!$D$4-1,1,1)</f>
        <v>ausbezahlt</v>
      </c>
    </row>
    <row r="51" spans="1:1" x14ac:dyDescent="0.2">
      <c r="A51" s="12" t="str">
        <f ca="1">OFFSET(Sprachen!A757,0,'START, DÉBUT, INIZIO'!$D$4-1,1,1)</f>
        <v>Ausnahmen Leistungsuntergrenzen</v>
      </c>
    </row>
    <row r="52" spans="1:1" x14ac:dyDescent="0.2">
      <c r="A52" s="233" t="str">
        <f ca="1">OFFSET(Sprachen!A758,0,'START, DÉBUT, INIZIO'!$D$4-1,1,1)</f>
        <v>Nebennutzungsanlage (Art. 26 Abs. 4 EnG)</v>
      </c>
    </row>
    <row r="53" spans="1:1" x14ac:dyDescent="0.2">
      <c r="A53" s="233" t="str">
        <f ca="1">OFFSET(Sprachen!A759,0,'START, DÉBUT, INIZIO'!$D$4-1,1,1)</f>
        <v>Dotierkraftwerk (Art. 9 Abs. 1 Bst. a EnFV)</v>
      </c>
    </row>
    <row r="54" spans="1:1" x14ac:dyDescent="0.2">
      <c r="A54" s="233" t="str">
        <f ca="1">OFFSET(Sprachen!A760,0,'START, DÉBUT, INIZIO'!$D$4-1,1,1)</f>
        <v>Anlage an künstlich geschaffenem Hochwasserentlastungskanal, Industriekanal, bestehendem Ausleit- oder Unterwasserkanal (Art. 9 Abs. 1 Bst. b EnFV)</v>
      </c>
    </row>
    <row r="55" spans="1:1" x14ac:dyDescent="0.2">
      <c r="A55" s="233" t="str">
        <f ca="1">OFFSET(Sprachen!A761,0,'START, DÉBUT, INIZIO'!$D$4-1,1,1)</f>
        <v>Anlagen, an denen Sanierungsmassnahmen nach GschG oder BGF umgesetzt werden oder wurden (Art. 9 Abs.3 EnFV)</v>
      </c>
    </row>
    <row r="56" spans="1:1" x14ac:dyDescent="0.2">
      <c r="A56" s="233" t="str">
        <f ca="1">OFFSET(Sprachen!A762,0,'START, DÉBUT, INIZIO'!$D$4-1,1,1)</f>
        <v>keine Ausnahme nötig</v>
      </c>
    </row>
    <row r="58" spans="1:1" x14ac:dyDescent="0.2">
      <c r="A58" s="12" t="str">
        <f ca="1">OFFSET(Sprachen!A763,0,'START, DÉBUT, INIZIO'!$D$4-1,1,1)</f>
        <v>Eröffnung auf elektronischem Weg</v>
      </c>
    </row>
    <row r="59" spans="1:1" x14ac:dyDescent="0.2">
      <c r="A59" s="233" t="str">
        <f ca="1">OFFSET(Sprachen!A764,0,'START, DÉBUT, INIZIO'!$D$4-1,1,1)</f>
        <v xml:space="preserve">Ja, ich stimme zu </v>
      </c>
    </row>
    <row r="60" spans="1:1" x14ac:dyDescent="0.2">
      <c r="A60" s="233" t="str">
        <f ca="1">OFFSET(Sprachen!A765,0,'START, DÉBUT, INIZIO'!$D$4-1,1,1)</f>
        <v>Nein, ich stimme nicht zu (Eröffnung in Papierform)</v>
      </c>
    </row>
  </sheetData>
  <phoneticPr fontId="6" type="noConversion"/>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CE73F-9795-47EF-ACDB-C27175F05A63}">
  <sheetPr>
    <tabColor rgb="FFFFC000"/>
  </sheetPr>
  <dimension ref="A1:U241"/>
  <sheetViews>
    <sheetView showGridLines="0" zoomScaleNormal="100" workbookViewId="0">
      <selection activeCell="D238" sqref="D238"/>
    </sheetView>
  </sheetViews>
  <sheetFormatPr baseColWidth="10" defaultRowHeight="12.75" x14ac:dyDescent="0.2"/>
  <cols>
    <col min="1" max="1" width="6.7109375" customWidth="1"/>
    <col min="2" max="2" width="72.42578125" customWidth="1"/>
    <col min="3" max="3" width="6.28515625" customWidth="1"/>
    <col min="4" max="4" width="16.85546875" customWidth="1"/>
    <col min="5" max="5" width="20.28515625" bestFit="1" customWidth="1"/>
    <col min="6" max="6" width="13.28515625" customWidth="1"/>
    <col min="7" max="7" width="15.42578125" customWidth="1"/>
    <col min="8" max="8" width="15.5703125" customWidth="1"/>
    <col min="9" max="9" width="11.140625" customWidth="1"/>
    <col min="10" max="10" width="15.42578125" customWidth="1"/>
    <col min="11" max="11" width="16.7109375" customWidth="1"/>
    <col min="12" max="12" width="13.42578125" customWidth="1"/>
    <col min="13" max="14" width="16.140625" customWidth="1"/>
    <col min="15" max="15" width="12.42578125" customWidth="1"/>
    <col min="16" max="17" width="15.28515625" customWidth="1"/>
    <col min="18" max="18" width="12.28515625" customWidth="1"/>
    <col min="21" max="21" width="12" customWidth="1"/>
    <col min="22" max="22" width="4.5703125" customWidth="1"/>
    <col min="24" max="24" width="14.42578125" customWidth="1"/>
    <col min="25" max="25" width="10.7109375" customWidth="1"/>
    <col min="27" max="27" width="16.28515625" customWidth="1"/>
  </cols>
  <sheetData>
    <row r="1" spans="1:18" ht="15.75" customHeight="1" x14ac:dyDescent="0.2">
      <c r="A1" s="1" t="str">
        <f ca="1">DropDown!$A$3</f>
        <v>Erhebliche Erweiterung</v>
      </c>
      <c r="D1" s="904" t="s">
        <v>1582</v>
      </c>
    </row>
    <row r="2" spans="1:18" x14ac:dyDescent="0.2">
      <c r="A2" s="1" t="str">
        <f ca="1">DropDown!$A$7</f>
        <v>steuerbar &amp; &gt; 3 MWbr</v>
      </c>
      <c r="D2" s="904"/>
    </row>
    <row r="3" spans="1:18" s="236" customFormat="1" ht="15.75" customHeight="1" thickBot="1" x14ac:dyDescent="0.25">
      <c r="A3" s="279">
        <f>'START, DÉBUT, INIZIO'!$C$21</f>
        <v>0</v>
      </c>
      <c r="B3" s="237"/>
      <c r="C3" s="237"/>
      <c r="D3" s="237"/>
      <c r="E3" s="237"/>
      <c r="F3" s="237"/>
      <c r="G3" s="237"/>
      <c r="H3" s="237"/>
      <c r="I3" s="237"/>
      <c r="J3" s="237"/>
      <c r="K3" s="237"/>
      <c r="L3" s="237"/>
      <c r="M3" s="237"/>
      <c r="N3" s="237"/>
      <c r="O3" s="237"/>
      <c r="P3" s="237"/>
      <c r="Q3" s="237"/>
      <c r="R3" s="237"/>
    </row>
    <row r="4" spans="1:18" s="236" customFormat="1" ht="25.5" customHeight="1" x14ac:dyDescent="0.2">
      <c r="A4" s="684">
        <v>4.2</v>
      </c>
      <c r="B4" s="685" t="str">
        <f ca="1">OFFSET(Sprachen!A405,0,'START, DÉBUT, INIZIO'!$D$4-1,1,1)</f>
        <v>Jahreskosten</v>
      </c>
      <c r="C4" s="686"/>
      <c r="D4" s="686"/>
      <c r="E4" s="686"/>
      <c r="F4" s="686"/>
      <c r="G4" s="686"/>
      <c r="H4" s="686"/>
      <c r="I4" s="686"/>
      <c r="J4" s="686"/>
      <c r="K4" s="686"/>
      <c r="L4" s="686"/>
      <c r="M4" s="686"/>
      <c r="N4" s="686"/>
      <c r="O4" s="686"/>
      <c r="P4" s="686"/>
      <c r="Q4" s="686"/>
      <c r="R4" s="686"/>
    </row>
    <row r="5" spans="1:18" ht="26.1" customHeight="1" x14ac:dyDescent="0.2">
      <c r="A5" s="12" t="str">
        <f ca="1">OFFSET(Sprachen!A406,0,'START, DÉBUT, INIZIO'!$D$4-1,1,1)</f>
        <v>Investitionsbedingte Kosten für Kapital (Abschreibung + EK + FK)</v>
      </c>
      <c r="B5" s="268"/>
      <c r="C5" s="268"/>
      <c r="D5" s="3"/>
      <c r="E5" s="269"/>
      <c r="F5" s="269"/>
      <c r="G5" s="269"/>
      <c r="I5" s="1"/>
    </row>
    <row r="6" spans="1:18" x14ac:dyDescent="0.2">
      <c r="C6" s="306">
        <v>1</v>
      </c>
      <c r="D6" s="308">
        <f>'3 Investitionskosten'!$W$13</f>
        <v>0</v>
      </c>
      <c r="E6" s="312" t="s">
        <v>123</v>
      </c>
      <c r="F6" s="309" t="str">
        <f ca="1">OFFSET(Sprachen!A407,0,'START, DÉBUT, INIZIO'!$D$4-1,1,1)</f>
        <v>Anrechenbare Annuität</v>
      </c>
    </row>
    <row r="7" spans="1:18" ht="13.5" thickBot="1" x14ac:dyDescent="0.25">
      <c r="A7" s="271"/>
      <c r="B7" s="271"/>
      <c r="C7" s="271"/>
      <c r="D7" s="271"/>
      <c r="E7" s="271"/>
      <c r="F7" s="271"/>
      <c r="G7" s="271"/>
      <c r="H7" s="271"/>
      <c r="I7" s="271"/>
      <c r="J7" s="271"/>
      <c r="K7" s="271"/>
      <c r="L7" s="271"/>
      <c r="M7" s="271"/>
      <c r="N7" s="271"/>
      <c r="O7" s="271"/>
      <c r="P7" s="271"/>
      <c r="Q7" s="271"/>
      <c r="R7" s="271"/>
    </row>
    <row r="8" spans="1:18" ht="26.1" customHeight="1" x14ac:dyDescent="0.2">
      <c r="A8" s="12" t="str">
        <f ca="1">OFFSET(Sprachen!A408,0,'START, DÉBUT, INIZIO'!$D$4-1,1,1)</f>
        <v>Investitionsbedingte Kosten für Betrieb</v>
      </c>
      <c r="B8" s="268"/>
      <c r="C8" s="268"/>
      <c r="D8" s="3"/>
      <c r="E8" s="318"/>
      <c r="F8" s="1" t="str">
        <f ca="1">OFFSET(Sprachen!A412,0,'START, DÉBUT, INIZIO'!$D$4-1,1,1)</f>
        <v>Beschreibung</v>
      </c>
      <c r="G8" s="269"/>
      <c r="I8" s="1"/>
    </row>
    <row r="9" spans="1:18" x14ac:dyDescent="0.2">
      <c r="C9" s="306">
        <v>1</v>
      </c>
      <c r="D9" s="792"/>
      <c r="E9" s="310" t="s">
        <v>123</v>
      </c>
      <c r="F9" s="902"/>
      <c r="G9" s="902"/>
      <c r="H9" s="902"/>
      <c r="I9" s="902"/>
      <c r="J9" s="902"/>
      <c r="K9" s="902"/>
      <c r="L9" s="902"/>
      <c r="M9" s="902"/>
      <c r="N9" s="902"/>
      <c r="O9" s="902"/>
      <c r="P9" s="902"/>
      <c r="Q9" s="902"/>
      <c r="R9" s="905"/>
    </row>
    <row r="10" spans="1:18" x14ac:dyDescent="0.2">
      <c r="C10" s="307">
        <f t="shared" ref="C10:C17" si="0">C9+1</f>
        <v>2</v>
      </c>
      <c r="D10" s="792"/>
      <c r="E10" s="310" t="s">
        <v>123</v>
      </c>
      <c r="F10" s="902"/>
      <c r="G10" s="902"/>
      <c r="H10" s="902"/>
      <c r="I10" s="902"/>
      <c r="J10" s="902"/>
      <c r="K10" s="902"/>
      <c r="L10" s="902"/>
      <c r="M10" s="902"/>
      <c r="N10" s="902"/>
      <c r="O10" s="902"/>
      <c r="P10" s="902"/>
      <c r="Q10" s="902"/>
      <c r="R10" s="902"/>
    </row>
    <row r="11" spans="1:18" x14ac:dyDescent="0.2">
      <c r="C11" s="307">
        <f t="shared" si="0"/>
        <v>3</v>
      </c>
      <c r="D11" s="792"/>
      <c r="E11" s="310" t="s">
        <v>123</v>
      </c>
      <c r="F11" s="902"/>
      <c r="G11" s="902"/>
      <c r="H11" s="902"/>
      <c r="I11" s="902"/>
      <c r="J11" s="902"/>
      <c r="K11" s="902"/>
      <c r="L11" s="902"/>
      <c r="M11" s="902"/>
      <c r="N11" s="902"/>
      <c r="O11" s="902"/>
      <c r="P11" s="902"/>
      <c r="Q11" s="902"/>
      <c r="R11" s="902"/>
    </row>
    <row r="12" spans="1:18" x14ac:dyDescent="0.2">
      <c r="C12" s="307">
        <f t="shared" si="0"/>
        <v>4</v>
      </c>
      <c r="D12" s="792"/>
      <c r="E12" s="310" t="s">
        <v>123</v>
      </c>
      <c r="F12" s="902"/>
      <c r="G12" s="902"/>
      <c r="H12" s="902"/>
      <c r="I12" s="902"/>
      <c r="J12" s="902"/>
      <c r="K12" s="902"/>
      <c r="L12" s="902"/>
      <c r="M12" s="902"/>
      <c r="N12" s="902"/>
      <c r="O12" s="902"/>
      <c r="P12" s="902"/>
      <c r="Q12" s="902"/>
      <c r="R12" s="902"/>
    </row>
    <row r="13" spans="1:18" x14ac:dyDescent="0.2">
      <c r="C13" s="307">
        <f t="shared" si="0"/>
        <v>5</v>
      </c>
      <c r="D13" s="792"/>
      <c r="E13" s="310" t="s">
        <v>123</v>
      </c>
      <c r="F13" s="902"/>
      <c r="G13" s="902"/>
      <c r="H13" s="902"/>
      <c r="I13" s="902"/>
      <c r="J13" s="902"/>
      <c r="K13" s="902"/>
      <c r="L13" s="902"/>
      <c r="M13" s="902"/>
      <c r="N13" s="902"/>
      <c r="O13" s="902"/>
      <c r="P13" s="902"/>
      <c r="Q13" s="902"/>
      <c r="R13" s="902"/>
    </row>
    <row r="14" spans="1:18" x14ac:dyDescent="0.2">
      <c r="C14" s="307">
        <f t="shared" si="0"/>
        <v>6</v>
      </c>
      <c r="D14" s="792"/>
      <c r="E14" s="310" t="s">
        <v>123</v>
      </c>
      <c r="F14" s="902"/>
      <c r="G14" s="902"/>
      <c r="H14" s="902"/>
      <c r="I14" s="902"/>
      <c r="J14" s="902"/>
      <c r="K14" s="902"/>
      <c r="L14" s="902"/>
      <c r="M14" s="902"/>
      <c r="N14" s="902"/>
      <c r="O14" s="902"/>
      <c r="P14" s="902"/>
      <c r="Q14" s="902"/>
      <c r="R14" s="902"/>
    </row>
    <row r="15" spans="1:18" x14ac:dyDescent="0.2">
      <c r="C15" s="5">
        <f t="shared" si="0"/>
        <v>7</v>
      </c>
      <c r="D15" s="6">
        <f>SUM(D9:D14)</f>
        <v>0</v>
      </c>
      <c r="E15" s="310" t="s">
        <v>123</v>
      </c>
      <c r="F15" s="1" t="str">
        <f ca="1">OFFSET(Sprachen!A413,0,'START, DÉBUT, INIZIO'!$D$4-1,1,1)</f>
        <v>Total</v>
      </c>
    </row>
    <row r="16" spans="1:18" x14ac:dyDescent="0.2">
      <c r="C16" s="5">
        <f t="shared" si="0"/>
        <v>8</v>
      </c>
      <c r="D16" s="6">
        <f>0.02*'3 Investitionskosten'!$N$13</f>
        <v>0</v>
      </c>
      <c r="E16" s="310" t="s">
        <v>123</v>
      </c>
      <c r="F16" s="1" t="str">
        <f ca="1">OFFSET(Sprachen!A414,0,'START, DÉBUT, INIZIO'!$D$4-1,1,1)</f>
        <v>entsprechen 2% der anrechenbaren Investitionen</v>
      </c>
    </row>
    <row r="17" spans="1:18" ht="19.5" customHeight="1" x14ac:dyDescent="0.2">
      <c r="C17" s="5">
        <f t="shared" si="0"/>
        <v>9</v>
      </c>
      <c r="D17" s="308">
        <f>IF(D15&lt;D16,D15,D16)</f>
        <v>0</v>
      </c>
      <c r="E17" s="311" t="s">
        <v>123</v>
      </c>
      <c r="F17" s="309" t="str">
        <f ca="1">OFFSET(Sprachen!A415,0,'START, DÉBUT, INIZIO'!$D$4-1,1,1)</f>
        <v>anrechenbare Betriebskosten</v>
      </c>
    </row>
    <row r="18" spans="1:18" ht="13.5" thickBot="1" x14ac:dyDescent="0.25">
      <c r="A18" s="271"/>
      <c r="B18" s="271"/>
      <c r="C18" s="271"/>
      <c r="D18" s="271"/>
      <c r="E18" s="271"/>
      <c r="F18" s="271"/>
      <c r="G18" s="271"/>
      <c r="H18" s="271"/>
      <c r="I18" s="271"/>
      <c r="J18" s="271"/>
      <c r="K18" s="271"/>
      <c r="L18" s="271"/>
      <c r="M18" s="271"/>
      <c r="N18" s="271"/>
      <c r="O18" s="271"/>
      <c r="P18" s="271"/>
      <c r="Q18" s="271"/>
      <c r="R18" s="271"/>
    </row>
    <row r="19" spans="1:18" ht="26.1" customHeight="1" x14ac:dyDescent="0.2">
      <c r="A19" s="12" t="str">
        <f ca="1">OFFSET(Sprachen!A416,0,'START, DÉBUT, INIZIO'!$D$4-1,1,1)</f>
        <v>Investitionsbedingte Kosten für Energiebewirtschaftung und -verwertung</v>
      </c>
      <c r="B19" s="268"/>
      <c r="C19" s="268"/>
      <c r="D19" s="3"/>
      <c r="E19" s="269"/>
      <c r="F19" s="1" t="str">
        <f ca="1">F8</f>
        <v>Beschreibung</v>
      </c>
      <c r="G19" s="269"/>
      <c r="I19" s="1"/>
    </row>
    <row r="20" spans="1:18" x14ac:dyDescent="0.2">
      <c r="B20" s="1" t="str">
        <f ca="1">OFFSET(Sprachen!A417,0,'START, DÉBUT, INIZIO'!$D$4-1,1,1)</f>
        <v>Anspruch</v>
      </c>
      <c r="C20" s="306">
        <v>1</v>
      </c>
      <c r="D20" s="3" t="str">
        <f>IF('2 Techn. Angaben &amp; Produktion'!$H$10&gt;=3,"ja","nein")</f>
        <v>nein</v>
      </c>
      <c r="E20" s="269"/>
      <c r="F20" s="900" t="str">
        <f ca="1">OFFSET(Sprachen!A423,0,'START, DÉBUT, INIZIO'!$D$4-1,1,1)</f>
        <v>Anspruch haben nur Anlagen, welche nach der Investition eine mechanische Bruttoleistung &gt; 3 MW haben.</v>
      </c>
      <c r="G20" s="900"/>
      <c r="H20" s="900"/>
      <c r="I20" s="900"/>
      <c r="J20" s="900"/>
      <c r="K20" s="900"/>
      <c r="L20" s="900"/>
      <c r="M20" s="900"/>
      <c r="N20" s="900"/>
      <c r="O20" s="900"/>
      <c r="P20" s="900"/>
      <c r="Q20" s="900"/>
      <c r="R20" s="900"/>
    </row>
    <row r="21" spans="1:18" x14ac:dyDescent="0.2">
      <c r="B21" s="1">
        <f>$A$3</f>
        <v>0</v>
      </c>
      <c r="C21" s="307">
        <f>C20+1</f>
        <v>2</v>
      </c>
      <c r="D21" s="313">
        <f ca="1">OFFSET(Sprachen!A422,0,'START, DÉBUT, INIZIO'!$D$4-1,1,1)</f>
        <v>0</v>
      </c>
      <c r="E21" s="1" t="s">
        <v>132</v>
      </c>
      <c r="F21" s="900" t="str">
        <f ca="1">OFFSET(Sprachen!A424,0,'START, DÉBUT, INIZIO'!$D$4-1,1,1)</f>
        <v>EnFV Anhang 6.1, Ziffer 4.1.1, Buchstabe c</v>
      </c>
      <c r="G21" s="900"/>
      <c r="H21" s="900"/>
      <c r="I21" s="900"/>
      <c r="J21" s="900"/>
      <c r="K21" s="900"/>
      <c r="L21" s="900"/>
      <c r="M21" s="900"/>
      <c r="N21" s="900"/>
      <c r="O21" s="900"/>
      <c r="P21" s="900"/>
      <c r="Q21" s="900"/>
      <c r="R21" s="900"/>
    </row>
    <row r="22" spans="1:18" x14ac:dyDescent="0.2">
      <c r="B22" s="1" t="str">
        <f ca="1">OFFSET(Sprachen!A418,0,'START, DÉBUT, INIZIO'!$D$4-1,1,1)</f>
        <v>Durch Investition bedingte Mehrproduktion netto</v>
      </c>
      <c r="C22" s="307">
        <f>C21+1</f>
        <v>3</v>
      </c>
      <c r="D22" s="6">
        <f>'2 Techn. Angaben &amp; Produktion'!$R$55</f>
        <v>0</v>
      </c>
      <c r="E22" s="1" t="s">
        <v>9</v>
      </c>
    </row>
    <row r="23" spans="1:18" ht="19.5" customHeight="1" x14ac:dyDescent="0.2">
      <c r="C23" s="5">
        <f>C22+1</f>
        <v>4</v>
      </c>
      <c r="D23" s="308">
        <f ca="1">D21*10*D22</f>
        <v>0</v>
      </c>
      <c r="E23" s="309" t="s">
        <v>123</v>
      </c>
      <c r="F23" s="309" t="str">
        <f ca="1">OFFSET(Sprachen!A425,0,'START, DÉBUT, INIZIO'!$D$4-1,1,1)</f>
        <v>anrechenbare Energiebewirtschaftungs- und Verwertungskosten</v>
      </c>
    </row>
    <row r="24" spans="1:18" ht="13.5" thickBot="1" x14ac:dyDescent="0.25">
      <c r="A24" s="271"/>
      <c r="B24" s="271"/>
      <c r="C24" s="271"/>
      <c r="D24" s="271"/>
      <c r="E24" s="271"/>
      <c r="F24" s="271"/>
      <c r="G24" s="271"/>
      <c r="H24" s="271"/>
      <c r="I24" s="271"/>
      <c r="J24" s="271"/>
      <c r="K24" s="271"/>
      <c r="L24" s="271"/>
      <c r="M24" s="271"/>
      <c r="N24" s="271"/>
      <c r="O24" s="271"/>
      <c r="P24" s="271"/>
      <c r="Q24" s="271"/>
      <c r="R24" s="271"/>
    </row>
    <row r="25" spans="1:18" ht="26.1" customHeight="1" x14ac:dyDescent="0.2">
      <c r="A25" s="12" t="str">
        <f ca="1">OFFSET(Sprachen!A426,0,'START, DÉBUT, INIZIO'!$D$4-1,1,1)</f>
        <v>Investitionsbedingte Kosten aus Abgaben und Leistungen an das Gemeinwesen</v>
      </c>
      <c r="B25" s="268"/>
      <c r="C25" s="268"/>
      <c r="D25" s="3"/>
      <c r="E25" s="318"/>
      <c r="F25" s="1" t="str">
        <f ca="1">F19</f>
        <v>Beschreibung</v>
      </c>
      <c r="G25" s="269"/>
      <c r="I25" s="1"/>
    </row>
    <row r="26" spans="1:18" x14ac:dyDescent="0.2">
      <c r="C26" s="306">
        <v>1</v>
      </c>
      <c r="D26" s="6">
        <f>'2 Techn. Angaben &amp; Produktion'!$J$10*1000*'2 Techn. Angaben &amp; Produktion'!$H$30</f>
        <v>0</v>
      </c>
      <c r="E26" s="310" t="s">
        <v>123</v>
      </c>
      <c r="F26" s="902" t="str">
        <f ca="1">OFFSET(Sprachen!A428,0,'START, DÉBUT, INIZIO'!$D$4-1,1,1)</f>
        <v>Wasserzins</v>
      </c>
      <c r="G26" s="902"/>
      <c r="H26" s="902"/>
      <c r="I26" s="902"/>
      <c r="J26" s="902"/>
      <c r="K26" s="902"/>
      <c r="L26" s="902"/>
      <c r="M26" s="902"/>
      <c r="N26" s="902"/>
      <c r="O26" s="902"/>
      <c r="P26" s="902"/>
      <c r="Q26" s="902"/>
      <c r="R26" s="902"/>
    </row>
    <row r="27" spans="1:18" x14ac:dyDescent="0.2">
      <c r="C27" s="307">
        <f t="shared" ref="C27:C32" si="1">C26+1</f>
        <v>2</v>
      </c>
      <c r="D27" s="791"/>
      <c r="E27" s="310" t="s">
        <v>123</v>
      </c>
      <c r="F27" s="902"/>
      <c r="G27" s="902"/>
      <c r="H27" s="902"/>
      <c r="I27" s="902"/>
      <c r="J27" s="902"/>
      <c r="K27" s="902"/>
      <c r="L27" s="902"/>
      <c r="M27" s="902"/>
      <c r="N27" s="902"/>
      <c r="O27" s="902"/>
      <c r="P27" s="902"/>
      <c r="Q27" s="902"/>
      <c r="R27" s="902"/>
    </row>
    <row r="28" spans="1:18" x14ac:dyDescent="0.2">
      <c r="C28" s="307">
        <f t="shared" si="1"/>
        <v>3</v>
      </c>
      <c r="D28" s="792"/>
      <c r="E28" s="310" t="s">
        <v>123</v>
      </c>
      <c r="F28" s="902"/>
      <c r="G28" s="902"/>
      <c r="H28" s="902"/>
      <c r="I28" s="902"/>
      <c r="J28" s="902"/>
      <c r="K28" s="902"/>
      <c r="L28" s="902"/>
      <c r="M28" s="902"/>
      <c r="N28" s="902"/>
      <c r="O28" s="902"/>
      <c r="P28" s="902"/>
      <c r="Q28" s="902"/>
      <c r="R28" s="902"/>
    </row>
    <row r="29" spans="1:18" x14ac:dyDescent="0.2">
      <c r="C29" s="307">
        <f t="shared" si="1"/>
        <v>4</v>
      </c>
      <c r="D29" s="792"/>
      <c r="E29" s="310" t="s">
        <v>123</v>
      </c>
      <c r="F29" s="902"/>
      <c r="G29" s="902"/>
      <c r="H29" s="902"/>
      <c r="I29" s="902"/>
      <c r="J29" s="902"/>
      <c r="K29" s="902"/>
      <c r="L29" s="902"/>
      <c r="M29" s="902"/>
      <c r="N29" s="902"/>
      <c r="O29" s="902"/>
      <c r="P29" s="902"/>
      <c r="Q29" s="902"/>
      <c r="R29" s="902"/>
    </row>
    <row r="30" spans="1:18" x14ac:dyDescent="0.2">
      <c r="C30" s="307">
        <f t="shared" si="1"/>
        <v>5</v>
      </c>
      <c r="D30" s="792"/>
      <c r="E30" s="310" t="s">
        <v>123</v>
      </c>
      <c r="F30" s="902"/>
      <c r="G30" s="902"/>
      <c r="H30" s="902"/>
      <c r="I30" s="902"/>
      <c r="J30" s="902"/>
      <c r="K30" s="902"/>
      <c r="L30" s="902"/>
      <c r="M30" s="902"/>
      <c r="N30" s="902"/>
      <c r="O30" s="902"/>
      <c r="P30" s="902"/>
      <c r="Q30" s="902"/>
      <c r="R30" s="902"/>
    </row>
    <row r="31" spans="1:18" x14ac:dyDescent="0.2">
      <c r="C31" s="307">
        <f t="shared" si="1"/>
        <v>6</v>
      </c>
      <c r="D31" s="792"/>
      <c r="E31" s="310" t="s">
        <v>123</v>
      </c>
      <c r="F31" s="902"/>
      <c r="G31" s="902"/>
      <c r="H31" s="902"/>
      <c r="I31" s="902"/>
      <c r="J31" s="902"/>
      <c r="K31" s="902"/>
      <c r="L31" s="902"/>
      <c r="M31" s="902"/>
      <c r="N31" s="902"/>
      <c r="O31" s="902"/>
      <c r="P31" s="902"/>
      <c r="Q31" s="902"/>
      <c r="R31" s="902"/>
    </row>
    <row r="32" spans="1:18" ht="19.5" customHeight="1" x14ac:dyDescent="0.2">
      <c r="C32" s="5">
        <f t="shared" si="1"/>
        <v>7</v>
      </c>
      <c r="D32" s="308">
        <f>SUM(D26:D31)</f>
        <v>0</v>
      </c>
      <c r="E32" s="309" t="s">
        <v>123</v>
      </c>
      <c r="F32" s="309" t="str">
        <f ca="1">OFFSET(Sprachen!A429,0,'START, DÉBUT, INIZIO'!$D$4-1,1,1)</f>
        <v>Anrechenbare Abgaben und Leistungen an das Gemeinwesen</v>
      </c>
    </row>
    <row r="33" spans="1:18" ht="13.5" thickBot="1" x14ac:dyDescent="0.25">
      <c r="A33" s="271"/>
      <c r="B33" s="271"/>
      <c r="C33" s="271"/>
      <c r="D33" s="271"/>
      <c r="E33" s="271"/>
      <c r="F33" s="271"/>
      <c r="G33" s="271"/>
      <c r="H33" s="271"/>
      <c r="I33" s="271"/>
      <c r="J33" s="271"/>
      <c r="K33" s="271"/>
      <c r="L33" s="271"/>
      <c r="M33" s="271"/>
      <c r="N33" s="271"/>
      <c r="O33" s="271"/>
      <c r="P33" s="271"/>
      <c r="Q33" s="271"/>
      <c r="R33" s="271"/>
    </row>
    <row r="34" spans="1:18" ht="26.1" customHeight="1" x14ac:dyDescent="0.2">
      <c r="A34" s="12" t="str">
        <f ca="1">OFFSET(Sprachen!A430,0,'START, DÉBUT, INIZIO'!$D$4-1,1,1)</f>
        <v>Kosten für die Elektrizität für Zubringerpumpen</v>
      </c>
      <c r="B34" s="1"/>
      <c r="C34" s="1"/>
      <c r="D34" s="3"/>
      <c r="E34" s="900"/>
      <c r="F34" s="900"/>
      <c r="G34" s="900"/>
      <c r="H34" s="900"/>
      <c r="I34" s="900"/>
    </row>
    <row r="35" spans="1:18" ht="39.950000000000003" customHeight="1" x14ac:dyDescent="0.2">
      <c r="A35" s="12"/>
      <c r="B35" s="1"/>
      <c r="C35" s="1"/>
      <c r="D35" s="903" t="str">
        <f ca="1">OFFSET(Sprachen!A431,0,'START, DÉBUT, INIZIO'!$D$4-1,1,1)</f>
        <v>Preis investitionsbedingter Pumpenstrom (unter Annahme Projekt wäre bereits realisiert)</v>
      </c>
      <c r="E35" s="903"/>
      <c r="F35" s="1"/>
      <c r="G35" s="903" t="str">
        <f ca="1">OFFSET(Sprachen!A432,0,'START, DÉBUT, INIZIO'!$D$4-1,1,1)</f>
        <v>Investitionsbedingter Pumpenstrom Erwartungswert</v>
      </c>
      <c r="H35" s="903"/>
      <c r="I35" s="1"/>
      <c r="J35" s="903" t="str">
        <f ca="1">OFFSET(Sprachen!A433,0,'START, DÉBUT, INIZIO'!$D$4-1,1,1)</f>
        <v>Kosten investitionsbedingter Pumpenstrom (unter Annahme Projekt wäre bereits realisiert)</v>
      </c>
      <c r="K35" s="903"/>
    </row>
    <row r="36" spans="1:18" ht="13.5" thickBot="1" x14ac:dyDescent="0.25">
      <c r="A36" s="268"/>
      <c r="B36" s="1"/>
      <c r="C36" s="307"/>
      <c r="D36" s="271"/>
      <c r="E36" s="275" t="s">
        <v>10</v>
      </c>
      <c r="G36" s="417"/>
      <c r="H36" s="342" t="s">
        <v>9</v>
      </c>
      <c r="J36" s="271"/>
      <c r="K36" s="418" t="s">
        <v>8</v>
      </c>
    </row>
    <row r="37" spans="1:18" x14ac:dyDescent="0.2">
      <c r="A37" s="268"/>
      <c r="B37" s="3"/>
      <c r="C37" s="306">
        <v>1</v>
      </c>
      <c r="D37" s="3" t="str">
        <f>Vorgaben!C35</f>
        <v>10. 2024</v>
      </c>
      <c r="E37" s="793"/>
      <c r="G37" s="3" t="str">
        <f>'2 Techn. Angaben &amp; Produktion'!P95</f>
        <v>10. -1</v>
      </c>
      <c r="H37" s="277">
        <f>'2 Techn. Angaben &amp; Produktion'!R95</f>
        <v>0</v>
      </c>
      <c r="J37" s="3" t="str">
        <f t="shared" ref="J37:J48" si="2">D37</f>
        <v>10. 2024</v>
      </c>
      <c r="K37" s="316">
        <f t="shared" ref="K37:K48" si="3">E37*H37</f>
        <v>0</v>
      </c>
    </row>
    <row r="38" spans="1:18" x14ac:dyDescent="0.2">
      <c r="A38" s="268"/>
      <c r="C38" s="307">
        <f t="shared" ref="C38:C49" si="4">C37+1</f>
        <v>2</v>
      </c>
      <c r="D38" s="3" t="str">
        <f>Vorgaben!C36</f>
        <v>11. 2024</v>
      </c>
      <c r="E38" s="794"/>
      <c r="G38" s="3" t="str">
        <f>'2 Techn. Angaben &amp; Produktion'!P96</f>
        <v>11. -1</v>
      </c>
      <c r="H38" s="274">
        <f>'2 Techn. Angaben &amp; Produktion'!R96</f>
        <v>0</v>
      </c>
      <c r="J38" s="3" t="str">
        <f t="shared" si="2"/>
        <v>11. 2024</v>
      </c>
      <c r="K38" s="315">
        <f t="shared" si="3"/>
        <v>0</v>
      </c>
    </row>
    <row r="39" spans="1:18" ht="13.5" thickBot="1" x14ac:dyDescent="0.25">
      <c r="A39" s="268"/>
      <c r="C39" s="307">
        <f t="shared" si="4"/>
        <v>3</v>
      </c>
      <c r="D39" s="275" t="str">
        <f>Vorgaben!C37</f>
        <v>12. 2024</v>
      </c>
      <c r="E39" s="795"/>
      <c r="G39" s="314" t="str">
        <f>'2 Techn. Angaben &amp; Produktion'!P97</f>
        <v>12. -1</v>
      </c>
      <c r="H39" s="276">
        <f>'2 Techn. Angaben &amp; Produktion'!R97</f>
        <v>0</v>
      </c>
      <c r="J39" s="275" t="str">
        <f t="shared" si="2"/>
        <v>12. 2024</v>
      </c>
      <c r="K39" s="317">
        <f t="shared" si="3"/>
        <v>0</v>
      </c>
    </row>
    <row r="40" spans="1:18" x14ac:dyDescent="0.2">
      <c r="A40" s="268"/>
      <c r="B40" s="3"/>
      <c r="C40" s="307">
        <f t="shared" si="4"/>
        <v>4</v>
      </c>
      <c r="D40" s="3" t="str">
        <f>Vorgaben!C38</f>
        <v>1. 2025</v>
      </c>
      <c r="E40" s="793"/>
      <c r="G40" s="3" t="str">
        <f>'2 Techn. Angaben &amp; Produktion'!P98</f>
        <v>1. 0</v>
      </c>
      <c r="H40" s="277">
        <f>'2 Techn. Angaben &amp; Produktion'!R98</f>
        <v>0</v>
      </c>
      <c r="J40" s="3" t="str">
        <f t="shared" si="2"/>
        <v>1. 2025</v>
      </c>
      <c r="K40" s="316">
        <f t="shared" si="3"/>
        <v>0</v>
      </c>
    </row>
    <row r="41" spans="1:18" x14ac:dyDescent="0.2">
      <c r="A41" s="268"/>
      <c r="B41" s="1"/>
      <c r="C41" s="307">
        <f t="shared" si="4"/>
        <v>5</v>
      </c>
      <c r="D41" s="3" t="str">
        <f>Vorgaben!C39</f>
        <v>2. 2025</v>
      </c>
      <c r="E41" s="794"/>
      <c r="G41" s="3" t="str">
        <f>'2 Techn. Angaben &amp; Produktion'!P99</f>
        <v>2. 0</v>
      </c>
      <c r="H41" s="274">
        <f>'2 Techn. Angaben &amp; Produktion'!R99</f>
        <v>0</v>
      </c>
      <c r="J41" s="3" t="str">
        <f t="shared" si="2"/>
        <v>2. 2025</v>
      </c>
      <c r="K41" s="315">
        <f t="shared" si="3"/>
        <v>0</v>
      </c>
    </row>
    <row r="42" spans="1:18" ht="13.5" thickBot="1" x14ac:dyDescent="0.25">
      <c r="A42" s="268"/>
      <c r="B42" s="1"/>
      <c r="C42" s="307">
        <f t="shared" si="4"/>
        <v>6</v>
      </c>
      <c r="D42" s="275" t="str">
        <f>Vorgaben!C40</f>
        <v>3. 2025</v>
      </c>
      <c r="E42" s="795"/>
      <c r="G42" s="314" t="str">
        <f>'2 Techn. Angaben &amp; Produktion'!P100</f>
        <v>3. 0</v>
      </c>
      <c r="H42" s="276">
        <f>'2 Techn. Angaben &amp; Produktion'!R100</f>
        <v>0</v>
      </c>
      <c r="J42" s="275" t="str">
        <f t="shared" si="2"/>
        <v>3. 2025</v>
      </c>
      <c r="K42" s="317">
        <f t="shared" si="3"/>
        <v>0</v>
      </c>
    </row>
    <row r="43" spans="1:18" x14ac:dyDescent="0.2">
      <c r="A43" s="268"/>
      <c r="B43" s="1"/>
      <c r="C43" s="307">
        <f t="shared" si="4"/>
        <v>7</v>
      </c>
      <c r="D43" s="3" t="str">
        <f>Vorgaben!C41</f>
        <v>4. 2025</v>
      </c>
      <c r="E43" s="793"/>
      <c r="G43" s="3" t="str">
        <f>'2 Techn. Angaben &amp; Produktion'!P101</f>
        <v>4. 0</v>
      </c>
      <c r="H43" s="277">
        <f>'2 Techn. Angaben &amp; Produktion'!R101</f>
        <v>0</v>
      </c>
      <c r="J43" s="3" t="str">
        <f t="shared" si="2"/>
        <v>4. 2025</v>
      </c>
      <c r="K43" s="316">
        <f t="shared" si="3"/>
        <v>0</v>
      </c>
    </row>
    <row r="44" spans="1:18" x14ac:dyDescent="0.2">
      <c r="A44" s="268"/>
      <c r="B44" s="1"/>
      <c r="C44" s="307">
        <f t="shared" si="4"/>
        <v>8</v>
      </c>
      <c r="D44" s="3" t="str">
        <f>Vorgaben!C42</f>
        <v>5. 2025</v>
      </c>
      <c r="E44" s="794"/>
      <c r="G44" s="3" t="str">
        <f>'2 Techn. Angaben &amp; Produktion'!P102</f>
        <v>5. 0</v>
      </c>
      <c r="H44" s="274">
        <f>'2 Techn. Angaben &amp; Produktion'!R102</f>
        <v>0</v>
      </c>
      <c r="J44" s="3" t="str">
        <f t="shared" si="2"/>
        <v>5. 2025</v>
      </c>
      <c r="K44" s="315">
        <f t="shared" si="3"/>
        <v>0</v>
      </c>
    </row>
    <row r="45" spans="1:18" ht="13.5" thickBot="1" x14ac:dyDescent="0.25">
      <c r="A45" s="268"/>
      <c r="B45" s="1"/>
      <c r="C45" s="307">
        <f t="shared" si="4"/>
        <v>9</v>
      </c>
      <c r="D45" s="275" t="str">
        <f>Vorgaben!C43</f>
        <v>6. 2025</v>
      </c>
      <c r="E45" s="795"/>
      <c r="G45" s="314" t="str">
        <f>'2 Techn. Angaben &amp; Produktion'!P103</f>
        <v>6. 0</v>
      </c>
      <c r="H45" s="276">
        <f>'2 Techn. Angaben &amp; Produktion'!R103</f>
        <v>0</v>
      </c>
      <c r="J45" s="275" t="str">
        <f t="shared" si="2"/>
        <v>6. 2025</v>
      </c>
      <c r="K45" s="317">
        <f t="shared" si="3"/>
        <v>0</v>
      </c>
    </row>
    <row r="46" spans="1:18" x14ac:dyDescent="0.2">
      <c r="A46" s="268"/>
      <c r="B46" s="1"/>
      <c r="C46" s="307">
        <f t="shared" si="4"/>
        <v>10</v>
      </c>
      <c r="D46" s="3" t="str">
        <f>Vorgaben!C44</f>
        <v>7. 2025</v>
      </c>
      <c r="E46" s="793"/>
      <c r="G46" s="3" t="str">
        <f>'2 Techn. Angaben &amp; Produktion'!P104</f>
        <v>7. 0</v>
      </c>
      <c r="H46" s="277">
        <f>'2 Techn. Angaben &amp; Produktion'!R104</f>
        <v>0</v>
      </c>
      <c r="J46" s="3" t="str">
        <f t="shared" si="2"/>
        <v>7. 2025</v>
      </c>
      <c r="K46" s="316">
        <f t="shared" si="3"/>
        <v>0</v>
      </c>
    </row>
    <row r="47" spans="1:18" x14ac:dyDescent="0.2">
      <c r="A47" s="268"/>
      <c r="B47" s="1"/>
      <c r="C47" s="307">
        <f t="shared" si="4"/>
        <v>11</v>
      </c>
      <c r="D47" s="3" t="str">
        <f>Vorgaben!C45</f>
        <v>8. 2025</v>
      </c>
      <c r="E47" s="794"/>
      <c r="G47" s="3" t="str">
        <f>'2 Techn. Angaben &amp; Produktion'!P105</f>
        <v>8. 0</v>
      </c>
      <c r="H47" s="274">
        <f>'2 Techn. Angaben &amp; Produktion'!R105</f>
        <v>0</v>
      </c>
      <c r="J47" s="3" t="str">
        <f t="shared" si="2"/>
        <v>8. 2025</v>
      </c>
      <c r="K47" s="315">
        <f t="shared" si="3"/>
        <v>0</v>
      </c>
    </row>
    <row r="48" spans="1:18" ht="13.5" thickBot="1" x14ac:dyDescent="0.25">
      <c r="A48" s="268"/>
      <c r="B48" s="1"/>
      <c r="C48" s="307">
        <f t="shared" si="4"/>
        <v>12</v>
      </c>
      <c r="D48" s="275" t="str">
        <f>Vorgaben!C46</f>
        <v>9. 2025</v>
      </c>
      <c r="E48" s="795"/>
      <c r="G48" s="314" t="str">
        <f>'2 Techn. Angaben &amp; Produktion'!P106</f>
        <v>9. 0</v>
      </c>
      <c r="H48" s="276">
        <f>'2 Techn. Angaben &amp; Produktion'!R106</f>
        <v>0</v>
      </c>
      <c r="J48" s="275" t="str">
        <f t="shared" si="2"/>
        <v>9. 2025</v>
      </c>
      <c r="K48" s="317">
        <f t="shared" si="3"/>
        <v>0</v>
      </c>
    </row>
    <row r="49" spans="1:18" ht="19.5" customHeight="1" x14ac:dyDescent="0.2">
      <c r="C49" s="5">
        <f t="shared" si="4"/>
        <v>13</v>
      </c>
      <c r="D49" s="308"/>
      <c r="E49" s="309"/>
      <c r="F49" s="309"/>
      <c r="H49" s="6">
        <f>SUM(H37:H48)</f>
        <v>0</v>
      </c>
      <c r="I49" s="8"/>
      <c r="J49" s="8"/>
      <c r="K49" s="308">
        <f>SUM(K37:K48)</f>
        <v>0</v>
      </c>
      <c r="L49" s="309" t="s">
        <v>123</v>
      </c>
      <c r="M49" s="312" t="str">
        <f ca="1">OFFSET(Sprachen!A434,0,'START, DÉBUT, INIZIO'!$D$4-1,1,1)</f>
        <v>Mehrkrosten für die Elektrizität für Zubringerpumpen</v>
      </c>
    </row>
    <row r="50" spans="1:18" ht="13.5" thickBot="1" x14ac:dyDescent="0.25">
      <c r="A50" s="271"/>
      <c r="B50" s="271"/>
      <c r="C50" s="271"/>
      <c r="D50" s="271"/>
      <c r="E50" s="271"/>
      <c r="F50" s="271"/>
      <c r="G50" s="271"/>
      <c r="H50" s="271"/>
      <c r="I50" s="271"/>
      <c r="J50" s="271"/>
      <c r="K50" s="271"/>
      <c r="L50" s="271"/>
      <c r="M50" s="271"/>
      <c r="N50" s="271"/>
      <c r="O50" s="271"/>
      <c r="P50" s="271"/>
      <c r="Q50" s="271"/>
      <c r="R50" s="271"/>
    </row>
    <row r="51" spans="1:18" ht="26.1" customHeight="1" x14ac:dyDescent="0.2">
      <c r="A51" s="12" t="str">
        <f ca="1">OFFSET(Sprachen!A435,0,'START, DÉBUT, INIZIO'!$D$4-1,1,1)</f>
        <v>Kosten für die Elektrizität für Umwälzpumpen</v>
      </c>
      <c r="B51" s="1"/>
      <c r="C51" s="1"/>
      <c r="D51" s="3"/>
      <c r="E51" s="900"/>
      <c r="F51" s="900"/>
      <c r="G51" s="900"/>
      <c r="H51" s="900"/>
      <c r="I51" s="900"/>
    </row>
    <row r="52" spans="1:18" ht="40.5" customHeight="1" x14ac:dyDescent="0.2">
      <c r="A52" s="12"/>
      <c r="B52" s="1"/>
      <c r="C52" s="1"/>
      <c r="D52" s="903" t="str">
        <f ca="1">D35</f>
        <v>Preis investitionsbedingter Pumpenstrom (unter Annahme Projekt wäre bereits realisiert)</v>
      </c>
      <c r="E52" s="903"/>
      <c r="F52" s="1"/>
      <c r="G52" s="903" t="str">
        <f ca="1">G35</f>
        <v>Investitionsbedingter Pumpenstrom Erwartungswert</v>
      </c>
      <c r="H52" s="903"/>
      <c r="I52" s="1"/>
      <c r="J52" s="903" t="str">
        <f ca="1">J35</f>
        <v>Kosten investitionsbedingter Pumpenstrom (unter Annahme Projekt wäre bereits realisiert)</v>
      </c>
      <c r="K52" s="903"/>
    </row>
    <row r="53" spans="1:18" ht="13.5" thickBot="1" x14ac:dyDescent="0.25">
      <c r="A53" s="268"/>
      <c r="B53" s="1"/>
      <c r="C53" s="307"/>
      <c r="D53" s="271"/>
      <c r="E53" s="275" t="s">
        <v>10</v>
      </c>
      <c r="G53" s="417"/>
      <c r="H53" s="342" t="s">
        <v>9</v>
      </c>
      <c r="J53" s="271"/>
      <c r="K53" s="418" t="s">
        <v>8</v>
      </c>
    </row>
    <row r="54" spans="1:18" x14ac:dyDescent="0.2">
      <c r="A54" s="268"/>
      <c r="B54" s="3"/>
      <c r="C54" s="306">
        <v>1</v>
      </c>
      <c r="D54" s="3" t="str">
        <f t="shared" ref="D54:D65" si="5">D37</f>
        <v>10. 2024</v>
      </c>
      <c r="E54" s="793"/>
      <c r="G54" s="3" t="str">
        <f t="shared" ref="G54:G65" si="6">G37</f>
        <v>10. -1</v>
      </c>
      <c r="H54" s="277">
        <f>'2 Techn. Angaben &amp; Produktion'!R121</f>
        <v>0</v>
      </c>
      <c r="J54" s="3" t="str">
        <f t="shared" ref="J54:J65" si="7">J37</f>
        <v>10. 2024</v>
      </c>
      <c r="K54" s="316">
        <f t="shared" ref="K54:K65" si="8">E54*H54</f>
        <v>0</v>
      </c>
    </row>
    <row r="55" spans="1:18" x14ac:dyDescent="0.2">
      <c r="A55" s="268"/>
      <c r="C55" s="307">
        <f t="shared" ref="C55:C66" si="9">C54+1</f>
        <v>2</v>
      </c>
      <c r="D55" s="3" t="str">
        <f t="shared" si="5"/>
        <v>11. 2024</v>
      </c>
      <c r="E55" s="794"/>
      <c r="G55" s="3" t="str">
        <f t="shared" si="6"/>
        <v>11. -1</v>
      </c>
      <c r="H55" s="274">
        <f>'2 Techn. Angaben &amp; Produktion'!R122</f>
        <v>0</v>
      </c>
      <c r="J55" s="3" t="str">
        <f t="shared" si="7"/>
        <v>11. 2024</v>
      </c>
      <c r="K55" s="315">
        <f t="shared" si="8"/>
        <v>0</v>
      </c>
    </row>
    <row r="56" spans="1:18" ht="13.5" thickBot="1" x14ac:dyDescent="0.25">
      <c r="A56" s="268"/>
      <c r="C56" s="307">
        <f t="shared" si="9"/>
        <v>3</v>
      </c>
      <c r="D56" s="275" t="str">
        <f t="shared" si="5"/>
        <v>12. 2024</v>
      </c>
      <c r="E56" s="795"/>
      <c r="G56" s="314" t="str">
        <f t="shared" si="6"/>
        <v>12. -1</v>
      </c>
      <c r="H56" s="276">
        <f>'2 Techn. Angaben &amp; Produktion'!R123</f>
        <v>0</v>
      </c>
      <c r="J56" s="275" t="str">
        <f t="shared" si="7"/>
        <v>12. 2024</v>
      </c>
      <c r="K56" s="317">
        <f t="shared" si="8"/>
        <v>0</v>
      </c>
    </row>
    <row r="57" spans="1:18" x14ac:dyDescent="0.2">
      <c r="A57" s="268"/>
      <c r="B57" s="3"/>
      <c r="C57" s="307">
        <f t="shared" si="9"/>
        <v>4</v>
      </c>
      <c r="D57" s="3" t="str">
        <f t="shared" si="5"/>
        <v>1. 2025</v>
      </c>
      <c r="E57" s="793"/>
      <c r="G57" s="3" t="str">
        <f t="shared" si="6"/>
        <v>1. 0</v>
      </c>
      <c r="H57" s="277">
        <f>'2 Techn. Angaben &amp; Produktion'!R124</f>
        <v>0</v>
      </c>
      <c r="J57" s="3" t="str">
        <f t="shared" si="7"/>
        <v>1. 2025</v>
      </c>
      <c r="K57" s="316">
        <f t="shared" si="8"/>
        <v>0</v>
      </c>
    </row>
    <row r="58" spans="1:18" x14ac:dyDescent="0.2">
      <c r="A58" s="268"/>
      <c r="B58" s="1"/>
      <c r="C58" s="307">
        <f t="shared" si="9"/>
        <v>5</v>
      </c>
      <c r="D58" s="3" t="str">
        <f t="shared" si="5"/>
        <v>2. 2025</v>
      </c>
      <c r="E58" s="794"/>
      <c r="G58" s="3" t="str">
        <f t="shared" si="6"/>
        <v>2. 0</v>
      </c>
      <c r="H58" s="274">
        <f>'2 Techn. Angaben &amp; Produktion'!R125</f>
        <v>0</v>
      </c>
      <c r="J58" s="3" t="str">
        <f t="shared" si="7"/>
        <v>2. 2025</v>
      </c>
      <c r="K58" s="315">
        <f t="shared" si="8"/>
        <v>0</v>
      </c>
    </row>
    <row r="59" spans="1:18" ht="13.5" thickBot="1" x14ac:dyDescent="0.25">
      <c r="A59" s="268"/>
      <c r="B59" s="1"/>
      <c r="C59" s="307">
        <f t="shared" si="9"/>
        <v>6</v>
      </c>
      <c r="D59" s="275" t="str">
        <f t="shared" si="5"/>
        <v>3. 2025</v>
      </c>
      <c r="E59" s="795"/>
      <c r="G59" s="314" t="str">
        <f t="shared" si="6"/>
        <v>3. 0</v>
      </c>
      <c r="H59" s="276">
        <f>'2 Techn. Angaben &amp; Produktion'!R126</f>
        <v>0</v>
      </c>
      <c r="J59" s="275" t="str">
        <f t="shared" si="7"/>
        <v>3. 2025</v>
      </c>
      <c r="K59" s="317">
        <f t="shared" si="8"/>
        <v>0</v>
      </c>
    </row>
    <row r="60" spans="1:18" x14ac:dyDescent="0.2">
      <c r="A60" s="268"/>
      <c r="B60" s="1"/>
      <c r="C60" s="307">
        <f t="shared" si="9"/>
        <v>7</v>
      </c>
      <c r="D60" s="3" t="str">
        <f t="shared" si="5"/>
        <v>4. 2025</v>
      </c>
      <c r="E60" s="793"/>
      <c r="G60" s="3" t="str">
        <f t="shared" si="6"/>
        <v>4. 0</v>
      </c>
      <c r="H60" s="277">
        <f>'2 Techn. Angaben &amp; Produktion'!R127</f>
        <v>0</v>
      </c>
      <c r="J60" s="3" t="str">
        <f t="shared" si="7"/>
        <v>4. 2025</v>
      </c>
      <c r="K60" s="316">
        <f t="shared" si="8"/>
        <v>0</v>
      </c>
    </row>
    <row r="61" spans="1:18" x14ac:dyDescent="0.2">
      <c r="A61" s="268"/>
      <c r="B61" s="1"/>
      <c r="C61" s="307">
        <f t="shared" si="9"/>
        <v>8</v>
      </c>
      <c r="D61" s="3" t="str">
        <f t="shared" si="5"/>
        <v>5. 2025</v>
      </c>
      <c r="E61" s="794"/>
      <c r="G61" s="3" t="str">
        <f t="shared" si="6"/>
        <v>5. 0</v>
      </c>
      <c r="H61" s="274">
        <f>'2 Techn. Angaben &amp; Produktion'!R128</f>
        <v>0</v>
      </c>
      <c r="J61" s="3" t="str">
        <f t="shared" si="7"/>
        <v>5. 2025</v>
      </c>
      <c r="K61" s="315">
        <f t="shared" si="8"/>
        <v>0</v>
      </c>
    </row>
    <row r="62" spans="1:18" ht="13.5" thickBot="1" x14ac:dyDescent="0.25">
      <c r="A62" s="268"/>
      <c r="B62" s="1"/>
      <c r="C62" s="307">
        <f t="shared" si="9"/>
        <v>9</v>
      </c>
      <c r="D62" s="275" t="str">
        <f t="shared" si="5"/>
        <v>6. 2025</v>
      </c>
      <c r="E62" s="795"/>
      <c r="G62" s="314" t="str">
        <f t="shared" si="6"/>
        <v>6. 0</v>
      </c>
      <c r="H62" s="276">
        <f>'2 Techn. Angaben &amp; Produktion'!R129</f>
        <v>0</v>
      </c>
      <c r="J62" s="275" t="str">
        <f t="shared" si="7"/>
        <v>6. 2025</v>
      </c>
      <c r="K62" s="317">
        <f t="shared" si="8"/>
        <v>0</v>
      </c>
    </row>
    <row r="63" spans="1:18" x14ac:dyDescent="0.2">
      <c r="A63" s="268"/>
      <c r="B63" s="1"/>
      <c r="C63" s="307">
        <f t="shared" si="9"/>
        <v>10</v>
      </c>
      <c r="D63" s="3" t="str">
        <f t="shared" si="5"/>
        <v>7. 2025</v>
      </c>
      <c r="E63" s="793"/>
      <c r="G63" s="3" t="str">
        <f t="shared" si="6"/>
        <v>7. 0</v>
      </c>
      <c r="H63" s="277">
        <f>'2 Techn. Angaben &amp; Produktion'!R130</f>
        <v>0</v>
      </c>
      <c r="J63" s="3" t="str">
        <f t="shared" si="7"/>
        <v>7. 2025</v>
      </c>
      <c r="K63" s="316">
        <f t="shared" si="8"/>
        <v>0</v>
      </c>
    </row>
    <row r="64" spans="1:18" x14ac:dyDescent="0.2">
      <c r="A64" s="268"/>
      <c r="B64" s="1"/>
      <c r="C64" s="307">
        <f t="shared" si="9"/>
        <v>11</v>
      </c>
      <c r="D64" s="3" t="str">
        <f t="shared" si="5"/>
        <v>8. 2025</v>
      </c>
      <c r="E64" s="794"/>
      <c r="G64" s="3" t="str">
        <f t="shared" si="6"/>
        <v>8. 0</v>
      </c>
      <c r="H64" s="274">
        <f>'2 Techn. Angaben &amp; Produktion'!R131</f>
        <v>0</v>
      </c>
      <c r="J64" s="3" t="str">
        <f t="shared" si="7"/>
        <v>8. 2025</v>
      </c>
      <c r="K64" s="315">
        <f t="shared" si="8"/>
        <v>0</v>
      </c>
    </row>
    <row r="65" spans="1:18" ht="13.5" thickBot="1" x14ac:dyDescent="0.25">
      <c r="A65" s="268"/>
      <c r="B65" s="1"/>
      <c r="C65" s="307">
        <f t="shared" si="9"/>
        <v>12</v>
      </c>
      <c r="D65" s="275" t="str">
        <f t="shared" si="5"/>
        <v>9. 2025</v>
      </c>
      <c r="E65" s="795"/>
      <c r="G65" s="314" t="str">
        <f t="shared" si="6"/>
        <v>9. 0</v>
      </c>
      <c r="H65" s="276">
        <f>'2 Techn. Angaben &amp; Produktion'!R132</f>
        <v>0</v>
      </c>
      <c r="J65" s="275" t="str">
        <f t="shared" si="7"/>
        <v>9. 2025</v>
      </c>
      <c r="K65" s="317">
        <f t="shared" si="8"/>
        <v>0</v>
      </c>
    </row>
    <row r="66" spans="1:18" ht="19.5" customHeight="1" x14ac:dyDescent="0.2">
      <c r="C66" s="5">
        <f t="shared" si="9"/>
        <v>13</v>
      </c>
      <c r="D66" s="308"/>
      <c r="E66" s="309"/>
      <c r="F66" s="309"/>
      <c r="H66" s="6">
        <f>SUM(H54:H65)</f>
        <v>0</v>
      </c>
      <c r="I66" s="8"/>
      <c r="J66" s="8"/>
      <c r="K66" s="308">
        <f>SUM(K54:K65)</f>
        <v>0</v>
      </c>
      <c r="L66" s="309" t="s">
        <v>123</v>
      </c>
      <c r="M66" s="312" t="str">
        <f ca="1">OFFSET(Sprachen!A436,0,'START, DÉBUT, INIZIO'!$D$4-1,1,1)</f>
        <v>Mehrkosten für die Elektrizität für Umwälzpumpen</v>
      </c>
    </row>
    <row r="67" spans="1:18" ht="13.5" thickBot="1" x14ac:dyDescent="0.25">
      <c r="A67" s="271"/>
      <c r="B67" s="271"/>
      <c r="C67" s="271"/>
      <c r="D67" s="271"/>
      <c r="E67" s="271"/>
      <c r="F67" s="271"/>
      <c r="G67" s="271"/>
      <c r="H67" s="271"/>
      <c r="I67" s="271"/>
      <c r="J67" s="271"/>
      <c r="K67" s="271"/>
      <c r="L67" s="271"/>
      <c r="M67" s="271"/>
      <c r="N67" s="271"/>
      <c r="O67" s="271"/>
      <c r="P67" s="271"/>
      <c r="Q67" s="271"/>
      <c r="R67" s="271"/>
    </row>
    <row r="68" spans="1:18" ht="26.1" customHeight="1" x14ac:dyDescent="0.2">
      <c r="A68" s="12" t="str">
        <f ca="1">OFFSET(Sprachen!A437,0,'START, DÉBUT, INIZIO'!$D$4-1,1,1)</f>
        <v>Investitionsbedingte Kosten für Steuern</v>
      </c>
      <c r="B68" s="1"/>
      <c r="C68" s="1"/>
      <c r="D68" s="3"/>
      <c r="E68" s="900"/>
      <c r="F68" s="900"/>
      <c r="G68" s="900"/>
      <c r="H68" s="900"/>
      <c r="I68" s="900"/>
    </row>
    <row r="69" spans="1:18" x14ac:dyDescent="0.2">
      <c r="B69" s="320" t="str">
        <f ca="1">OFFSET(Sprachen!A438,0,'START, DÉBUT, INIZIO'!$D$4-1,1,1)</f>
        <v>Abschreibungen (anr. Investition / investitionsgew. Nutzungsdauer)</v>
      </c>
      <c r="D69" s="306">
        <v>1</v>
      </c>
      <c r="E69" s="409">
        <f>'3 Investitionskosten'!$N$13/'3 Investitionskosten'!$U$13</f>
        <v>0</v>
      </c>
      <c r="F69" s="330" t="s">
        <v>123</v>
      </c>
    </row>
    <row r="70" spans="1:18" x14ac:dyDescent="0.2">
      <c r="B70" s="320" t="str">
        <f ca="1">OFFSET(Sprachen!A439,0,'START, DÉBUT, INIZIO'!$D$4-1,1,1)</f>
        <v>Kapitalkosten (EK + FK)</v>
      </c>
      <c r="D70" s="307">
        <f>D69+1</f>
        <v>2</v>
      </c>
      <c r="E70" s="6">
        <f>D6-E69</f>
        <v>0</v>
      </c>
      <c r="F70" s="310" t="s">
        <v>123</v>
      </c>
    </row>
    <row r="71" spans="1:18" x14ac:dyDescent="0.2">
      <c r="B71" s="320" t="str">
        <f ca="1">OFFSET(Sprachen!A440,0,'START, DÉBUT, INIZIO'!$D$4-1,1,1)</f>
        <v>Eigenkapitalkosten</v>
      </c>
      <c r="D71" s="307">
        <f>D70+1</f>
        <v>3</v>
      </c>
      <c r="E71" s="6">
        <f>E70*Vorgaben!$D$10</f>
        <v>0</v>
      </c>
      <c r="F71" s="310" t="s">
        <v>123</v>
      </c>
    </row>
    <row r="72" spans="1:18" x14ac:dyDescent="0.2">
      <c r="B72" s="320" t="str">
        <f ca="1">OFFSET(Sprachen!A441,0,'START, DÉBUT, INIZIO'!$D$4-1,1,1)</f>
        <v>Fremdkapitalkosten</v>
      </c>
      <c r="D72" s="307">
        <f>D71+1</f>
        <v>4</v>
      </c>
      <c r="E72" s="6">
        <f>E70*Vorgaben!$D$11</f>
        <v>0</v>
      </c>
      <c r="F72" s="310" t="s">
        <v>123</v>
      </c>
    </row>
    <row r="73" spans="1:18" x14ac:dyDescent="0.2">
      <c r="B73" s="320" t="str">
        <f ca="1">OFFSET(Sprachen!A442,0,'START, DÉBUT, INIZIO'!$D$4-1,1,1)</f>
        <v>Eigenkapitalkosten vor Steuern</v>
      </c>
      <c r="D73" s="307">
        <f t="shared" ref="D73:D74" si="10">D72+1</f>
        <v>5</v>
      </c>
      <c r="E73" s="6">
        <f>E71/(1-Vorgaben!$C$7)</f>
        <v>0</v>
      </c>
      <c r="F73" s="310" t="s">
        <v>123</v>
      </c>
    </row>
    <row r="74" spans="1:18" ht="25.5" customHeight="1" x14ac:dyDescent="0.2">
      <c r="B74" s="320" t="str">
        <f ca="1">OFFSET(Sprachen!A443,0,'START, DÉBUT, INIZIO'!$D$4-1,1,1)</f>
        <v>Steuern EK</v>
      </c>
      <c r="D74" s="5">
        <f t="shared" si="10"/>
        <v>6</v>
      </c>
      <c r="E74" s="308">
        <f>E73/(1)*Vorgaben!$C$7</f>
        <v>0</v>
      </c>
      <c r="F74" s="311" t="s">
        <v>123</v>
      </c>
      <c r="G74" s="312" t="str">
        <f ca="1">OFFSET(Sprachen!A444,0,'START, DÉBUT, INIZIO'!$D$4-1,1,1)</f>
        <v>Kosten EK Steuern</v>
      </c>
    </row>
    <row r="75" spans="1:18" ht="13.5" thickBot="1" x14ac:dyDescent="0.25">
      <c r="A75" s="271"/>
      <c r="B75" s="271"/>
      <c r="C75" s="271"/>
      <c r="D75" s="271"/>
      <c r="E75" s="271"/>
      <c r="F75" s="271"/>
      <c r="G75" s="271"/>
      <c r="H75" s="271"/>
      <c r="I75" s="271"/>
      <c r="J75" s="271"/>
      <c r="K75" s="271"/>
      <c r="L75" s="271"/>
      <c r="M75" s="271"/>
      <c r="N75" s="271"/>
      <c r="O75" s="271"/>
      <c r="P75" s="271"/>
      <c r="Q75" s="271"/>
      <c r="R75" s="271"/>
    </row>
    <row r="76" spans="1:18" ht="26.1" customHeight="1" x14ac:dyDescent="0.2">
      <c r="A76" s="12" t="str">
        <f ca="1">OFFSET(Sprachen!A445,0,'START, DÉBUT, INIZIO'!$D$4-1,1,1)</f>
        <v>Erlös aus Day-Ahead-Verkauf</v>
      </c>
      <c r="B76" s="1"/>
      <c r="C76" s="1"/>
      <c r="D76" s="3"/>
      <c r="E76" s="900"/>
      <c r="F76" s="900"/>
      <c r="G76" s="900"/>
      <c r="H76" s="900"/>
      <c r="I76" s="900"/>
    </row>
    <row r="77" spans="1:18" ht="74.25" customHeight="1" x14ac:dyDescent="0.2">
      <c r="D77" s="903" t="str">
        <f ca="1">OFFSET(Sprachen!A447,0,'START, DÉBUT, INIZIO'!$D$4-1,1,1)</f>
        <v>Vor Investition (bestehende Anlage). Ergebnis der Optimierung mit gemittelten Zuflüssen der letzten 5 hydro-logischen Jahre</v>
      </c>
      <c r="E77" s="903"/>
      <c r="G77" s="903" t="str">
        <f ca="1">OFFSET(Sprachen!A448,0,'START, DÉBUT, INIZIO'!$D$4-1,1,1)</f>
        <v>Nach Investition (veränderte Anlage) Ergebnis der Optimierung mit gemittelten Zuflüssen der letzten 5 hydro-logischen Jahre</v>
      </c>
      <c r="H77" s="903"/>
      <c r="K77" s="320" t="str">
        <f ca="1">OFFSET(Sprachen!A449,0,'START, DÉBUT, INIZIO'!$D$4-1,1,1)</f>
        <v>Mehrerlös aus Investition</v>
      </c>
    </row>
    <row r="78" spans="1:18" ht="13.5" thickBot="1" x14ac:dyDescent="0.25">
      <c r="B78" s="13"/>
      <c r="C78" s="307"/>
      <c r="D78" s="271"/>
      <c r="E78" s="275" t="s">
        <v>8</v>
      </c>
      <c r="G78" s="271"/>
      <c r="H78" s="275" t="s">
        <v>8</v>
      </c>
      <c r="J78" s="271"/>
      <c r="K78" s="275" t="s">
        <v>8</v>
      </c>
    </row>
    <row r="79" spans="1:18" x14ac:dyDescent="0.2">
      <c r="B79" s="350"/>
      <c r="C79" s="306">
        <v>1</v>
      </c>
      <c r="D79" s="3" t="str">
        <f>CONCATENATE(10,". ",Vorgaben!$C$2-6,"-",Vorgaben!$C$2-2)</f>
        <v>10. 2020-2024</v>
      </c>
      <c r="E79" s="793"/>
      <c r="G79" s="3" t="str">
        <f t="shared" ref="G79:G90" si="11">G54</f>
        <v>10. -1</v>
      </c>
      <c r="H79" s="793"/>
      <c r="J79" s="3" t="str">
        <f t="shared" ref="J79:J90" si="12">J54</f>
        <v>10. 2024</v>
      </c>
      <c r="K79" s="321">
        <f t="shared" ref="K79:K90" si="13">H79-E79</f>
        <v>0</v>
      </c>
    </row>
    <row r="80" spans="1:18" x14ac:dyDescent="0.2">
      <c r="B80" s="350"/>
      <c r="C80" s="307">
        <f t="shared" ref="C80:C91" si="14">C79+1</f>
        <v>2</v>
      </c>
      <c r="D80" s="3" t="str">
        <f>CONCATENATE(11,". ",Vorgaben!$C$2-6,"-",Vorgaben!$C$2-2)</f>
        <v>11. 2020-2024</v>
      </c>
      <c r="E80" s="794"/>
      <c r="G80" s="3" t="str">
        <f t="shared" si="11"/>
        <v>11. -1</v>
      </c>
      <c r="H80" s="794"/>
      <c r="J80" s="3" t="str">
        <f t="shared" si="12"/>
        <v>11. 2024</v>
      </c>
      <c r="K80" s="245">
        <f t="shared" si="13"/>
        <v>0</v>
      </c>
    </row>
    <row r="81" spans="2:20" ht="13.5" thickBot="1" x14ac:dyDescent="0.25">
      <c r="B81" s="350"/>
      <c r="C81" s="307">
        <f t="shared" si="14"/>
        <v>3</v>
      </c>
      <c r="D81" s="275" t="str">
        <f>CONCATENATE(12,". ",Vorgaben!$C$2-6,"-",Vorgaben!$C$2-2)</f>
        <v>12. 2020-2024</v>
      </c>
      <c r="E81" s="795"/>
      <c r="G81" s="275" t="str">
        <f t="shared" si="11"/>
        <v>12. -1</v>
      </c>
      <c r="H81" s="795"/>
      <c r="J81" s="314" t="str">
        <f t="shared" si="12"/>
        <v>12. 2024</v>
      </c>
      <c r="K81" s="302">
        <f t="shared" si="13"/>
        <v>0</v>
      </c>
    </row>
    <row r="82" spans="2:20" x14ac:dyDescent="0.2">
      <c r="B82" s="350"/>
      <c r="C82" s="307">
        <f t="shared" si="14"/>
        <v>4</v>
      </c>
      <c r="D82" s="3" t="str">
        <f>CONCATENATE(1,". ",Vorgaben!$C$2-5,"-",Vorgaben!$C$2-1)</f>
        <v>1. 2021-2025</v>
      </c>
      <c r="E82" s="793"/>
      <c r="G82" s="3" t="str">
        <f t="shared" si="11"/>
        <v>1. 0</v>
      </c>
      <c r="H82" s="793"/>
      <c r="J82" s="3" t="str">
        <f t="shared" si="12"/>
        <v>1. 2025</v>
      </c>
      <c r="K82" s="321">
        <f t="shared" si="13"/>
        <v>0</v>
      </c>
    </row>
    <row r="83" spans="2:20" x14ac:dyDescent="0.2">
      <c r="B83" s="350"/>
      <c r="C83" s="307">
        <f t="shared" si="14"/>
        <v>5</v>
      </c>
      <c r="D83" s="3" t="str">
        <f>CONCATENATE(2,". ",Vorgaben!$C$2-5,"-",Vorgaben!$C$2-1)</f>
        <v>2. 2021-2025</v>
      </c>
      <c r="E83" s="794"/>
      <c r="G83" s="3" t="str">
        <f t="shared" si="11"/>
        <v>2. 0</v>
      </c>
      <c r="H83" s="794"/>
      <c r="J83" s="3" t="str">
        <f t="shared" si="12"/>
        <v>2. 2025</v>
      </c>
      <c r="K83" s="245">
        <f t="shared" si="13"/>
        <v>0</v>
      </c>
    </row>
    <row r="84" spans="2:20" ht="13.5" thickBot="1" x14ac:dyDescent="0.25">
      <c r="B84" s="350"/>
      <c r="C84" s="307">
        <f t="shared" si="14"/>
        <v>6</v>
      </c>
      <c r="D84" s="275" t="str">
        <f>CONCATENATE(3,". ",Vorgaben!$C$2-5,"-",Vorgaben!$C$2-1)</f>
        <v>3. 2021-2025</v>
      </c>
      <c r="E84" s="795"/>
      <c r="G84" s="275" t="str">
        <f t="shared" si="11"/>
        <v>3. 0</v>
      </c>
      <c r="H84" s="795"/>
      <c r="J84" s="314" t="str">
        <f t="shared" si="12"/>
        <v>3. 2025</v>
      </c>
      <c r="K84" s="302">
        <f t="shared" si="13"/>
        <v>0</v>
      </c>
    </row>
    <row r="85" spans="2:20" x14ac:dyDescent="0.2">
      <c r="B85" s="350"/>
      <c r="C85" s="307">
        <f t="shared" si="14"/>
        <v>7</v>
      </c>
      <c r="D85" s="3" t="str">
        <f>CONCATENATE(4,". ",Vorgaben!$C$2-5,"-",Vorgaben!$C$2-1)</f>
        <v>4. 2021-2025</v>
      </c>
      <c r="E85" s="793"/>
      <c r="G85" s="3" t="str">
        <f t="shared" si="11"/>
        <v>4. 0</v>
      </c>
      <c r="H85" s="793"/>
      <c r="J85" s="3" t="str">
        <f t="shared" si="12"/>
        <v>4. 2025</v>
      </c>
      <c r="K85" s="321">
        <f t="shared" si="13"/>
        <v>0</v>
      </c>
    </row>
    <row r="86" spans="2:20" x14ac:dyDescent="0.2">
      <c r="B86" s="350"/>
      <c r="C86" s="307">
        <f t="shared" si="14"/>
        <v>8</v>
      </c>
      <c r="D86" s="3" t="str">
        <f>CONCATENATE(5,". ",Vorgaben!$C$2-5,"-",Vorgaben!$C$2-1)</f>
        <v>5. 2021-2025</v>
      </c>
      <c r="E86" s="794"/>
      <c r="G86" s="3" t="str">
        <f t="shared" si="11"/>
        <v>5. 0</v>
      </c>
      <c r="H86" s="794"/>
      <c r="J86" s="3" t="str">
        <f t="shared" si="12"/>
        <v>5. 2025</v>
      </c>
      <c r="K86" s="245">
        <f t="shared" si="13"/>
        <v>0</v>
      </c>
    </row>
    <row r="87" spans="2:20" ht="13.5" thickBot="1" x14ac:dyDescent="0.25">
      <c r="B87" s="350"/>
      <c r="C87" s="307">
        <f t="shared" si="14"/>
        <v>9</v>
      </c>
      <c r="D87" s="275" t="str">
        <f>CONCATENATE(6,". ",Vorgaben!$C$2-5,"-",Vorgaben!$C$2-1)</f>
        <v>6. 2021-2025</v>
      </c>
      <c r="E87" s="795"/>
      <c r="G87" s="275" t="str">
        <f t="shared" si="11"/>
        <v>6. 0</v>
      </c>
      <c r="H87" s="795"/>
      <c r="J87" s="314" t="str">
        <f t="shared" si="12"/>
        <v>6. 2025</v>
      </c>
      <c r="K87" s="302">
        <f t="shared" si="13"/>
        <v>0</v>
      </c>
    </row>
    <row r="88" spans="2:20" x14ac:dyDescent="0.2">
      <c r="B88" s="350"/>
      <c r="C88" s="307">
        <f t="shared" si="14"/>
        <v>10</v>
      </c>
      <c r="D88" s="3" t="str">
        <f>CONCATENATE(7,". ",Vorgaben!$C$2-5,"-",Vorgaben!$C$2-1)</f>
        <v>7. 2021-2025</v>
      </c>
      <c r="E88" s="793"/>
      <c r="G88" s="3" t="str">
        <f t="shared" si="11"/>
        <v>7. 0</v>
      </c>
      <c r="H88" s="793"/>
      <c r="J88" s="3" t="str">
        <f t="shared" si="12"/>
        <v>7. 2025</v>
      </c>
      <c r="K88" s="321">
        <f t="shared" si="13"/>
        <v>0</v>
      </c>
    </row>
    <row r="89" spans="2:20" x14ac:dyDescent="0.2">
      <c r="B89" s="350"/>
      <c r="C89" s="307">
        <f t="shared" si="14"/>
        <v>11</v>
      </c>
      <c r="D89" s="3" t="str">
        <f>CONCATENATE(8,". ",Vorgaben!$C$2-5,"-",Vorgaben!$C$2-1)</f>
        <v>8. 2021-2025</v>
      </c>
      <c r="E89" s="794"/>
      <c r="G89" s="3" t="str">
        <f t="shared" si="11"/>
        <v>8. 0</v>
      </c>
      <c r="H89" s="794"/>
      <c r="J89" s="3" t="str">
        <f t="shared" si="12"/>
        <v>8. 2025</v>
      </c>
      <c r="K89" s="245">
        <f t="shared" si="13"/>
        <v>0</v>
      </c>
    </row>
    <row r="90" spans="2:20" ht="13.5" thickBot="1" x14ac:dyDescent="0.25">
      <c r="B90" s="350"/>
      <c r="C90" s="307">
        <f t="shared" si="14"/>
        <v>12</v>
      </c>
      <c r="D90" s="275" t="str">
        <f>CONCATENATE(9,". ",Vorgaben!$C$2-5,"-",Vorgaben!$C$2-1)</f>
        <v>9. 2021-2025</v>
      </c>
      <c r="E90" s="795"/>
      <c r="G90" s="275" t="str">
        <f t="shared" si="11"/>
        <v>9. 0</v>
      </c>
      <c r="H90" s="795"/>
      <c r="J90" s="314" t="str">
        <f t="shared" si="12"/>
        <v>9. 2025</v>
      </c>
      <c r="K90" s="302">
        <f t="shared" si="13"/>
        <v>0</v>
      </c>
    </row>
    <row r="91" spans="2:20" ht="21.75" customHeight="1" x14ac:dyDescent="0.2">
      <c r="C91" s="5">
        <f t="shared" si="14"/>
        <v>13</v>
      </c>
      <c r="E91" s="6">
        <f>SUM(E79:E90)</f>
        <v>0</v>
      </c>
      <c r="H91" s="6">
        <f>SUM(H79:H90)</f>
        <v>0</v>
      </c>
      <c r="K91" s="308">
        <f>SUM(K79:K90)</f>
        <v>0</v>
      </c>
      <c r="L91" s="312" t="s">
        <v>123</v>
      </c>
      <c r="M91" s="312" t="str">
        <f ca="1">OFFSET(Sprachen!A450,0,'START, DÉBUT, INIZIO'!$D$4-1,1,1)</f>
        <v>Mehrerlös aus Day-Ahead-Verkauf</v>
      </c>
    </row>
    <row r="95" spans="2:20" x14ac:dyDescent="0.2">
      <c r="D95" s="906" t="str">
        <f ca="1">OFFSET(Sprachen!A452,0,'START, DÉBUT, INIZIO'!$D$4-1,1,1)</f>
        <v>Mit Produktion ohne neue Speicherkapazität</v>
      </c>
      <c r="E95" s="907"/>
      <c r="F95" s="907"/>
      <c r="G95" s="907"/>
      <c r="H95" s="907"/>
      <c r="I95" s="907"/>
      <c r="J95" s="907"/>
      <c r="K95" s="908"/>
      <c r="M95" s="906" t="str">
        <f ca="1">OFFSET(Sprachen!A453,0,'START, DÉBUT, INIZIO'!$D$4-1,1,1)</f>
        <v>Mit Produktion inkl. neuer Speicherkapazität</v>
      </c>
      <c r="N95" s="907"/>
      <c r="O95" s="907"/>
      <c r="P95" s="907"/>
      <c r="Q95" s="907"/>
      <c r="R95" s="907"/>
      <c r="S95" s="907"/>
      <c r="T95" s="908"/>
    </row>
    <row r="96" spans="2:20" x14ac:dyDescent="0.2">
      <c r="D96" s="13"/>
      <c r="E96" s="13"/>
      <c r="F96" s="13"/>
      <c r="G96" s="13"/>
      <c r="H96" s="13"/>
      <c r="I96" s="13"/>
      <c r="J96" s="13"/>
      <c r="K96" s="13"/>
      <c r="M96" s="13"/>
      <c r="N96" s="13"/>
      <c r="O96" s="13"/>
      <c r="P96" s="13"/>
      <c r="Q96" s="13"/>
      <c r="R96" s="13"/>
      <c r="S96" s="13"/>
      <c r="T96" s="13"/>
    </row>
    <row r="97" spans="1:21" ht="34.5" customHeight="1" x14ac:dyDescent="0.2">
      <c r="D97" s="909" t="str">
        <f ca="1">OFFSET(Sprachen!A454,0,'START, DÉBUT, INIZIO'!$D$4-1,1,1)</f>
        <v>Vor Investition (bestehende Anlage)</v>
      </c>
      <c r="E97" s="909"/>
      <c r="F97" s="272"/>
      <c r="G97" s="909" t="str">
        <f ca="1">OFFSET(Sprachen!A455,0,'START, DÉBUT, INIZIO'!$D$4-1,1,1)</f>
        <v>Nach Investition (veränderte Anlage)</v>
      </c>
      <c r="H97" s="909"/>
      <c r="I97" s="272"/>
      <c r="J97" s="272"/>
      <c r="K97" s="272" t="str">
        <f ca="1">OFFSET(Sprachen!A456,0,'START, DÉBUT, INIZIO'!$D$4-1,1,1)</f>
        <v>Mehrerlös</v>
      </c>
      <c r="L97" s="332"/>
      <c r="M97" s="909" t="str">
        <f ca="1">D97</f>
        <v>Vor Investition (bestehende Anlage)</v>
      </c>
      <c r="N97" s="909"/>
      <c r="O97" s="272"/>
      <c r="P97" s="909" t="str">
        <f ca="1">G97</f>
        <v>Nach Investition (veränderte Anlage)</v>
      </c>
      <c r="Q97" s="909"/>
      <c r="R97" s="272"/>
      <c r="S97" s="272"/>
      <c r="T97" s="272" t="str">
        <f ca="1">K97</f>
        <v>Mehrerlös</v>
      </c>
      <c r="U97" s="320"/>
    </row>
    <row r="98" spans="1:21" ht="13.5" thickBot="1" x14ac:dyDescent="0.25">
      <c r="D98" s="271"/>
      <c r="E98" s="275" t="s">
        <v>10</v>
      </c>
      <c r="G98" s="271"/>
      <c r="H98" s="275" t="s">
        <v>10</v>
      </c>
      <c r="J98" s="271"/>
      <c r="K98" s="275" t="s">
        <v>10</v>
      </c>
      <c r="M98" s="271"/>
      <c r="N98" s="275" t="s">
        <v>10</v>
      </c>
      <c r="P98" s="271"/>
      <c r="Q98" s="275" t="s">
        <v>10</v>
      </c>
      <c r="S98" s="271"/>
      <c r="T98" s="275" t="s">
        <v>10</v>
      </c>
    </row>
    <row r="99" spans="1:21" x14ac:dyDescent="0.2">
      <c r="C99" s="306">
        <v>1</v>
      </c>
      <c r="D99" s="3" t="str">
        <f>CONCATENATE(10,". ",Vorgaben!$C$2-6,"-",Vorgaben!$C$2-2)</f>
        <v>10. 2020-2024</v>
      </c>
      <c r="E99" s="322">
        <f>IFERROR(E79/'2 Techn. Angaben &amp; Produktion'!F40,0)</f>
        <v>0</v>
      </c>
      <c r="G99" s="3" t="str">
        <f t="shared" ref="G99:G110" si="15">G79</f>
        <v>10. -1</v>
      </c>
      <c r="H99" s="322">
        <f>IFERROR(H79/'2 Techn. Angaben &amp; Produktion'!N40,0)</f>
        <v>0</v>
      </c>
      <c r="J99" s="3" t="str">
        <f t="shared" ref="J99:J110" si="16">J79</f>
        <v>10. 2024</v>
      </c>
      <c r="K99" s="322">
        <f>IFERROR(K79/'2 Techn. Angaben &amp; Produktion'!R40,0)</f>
        <v>0</v>
      </c>
      <c r="M99" s="3" t="str">
        <f>CONCATENATE(10,". ",Vorgaben!$C$2-6,"-",Vorgaben!$C$2-2)</f>
        <v>10. 2020-2024</v>
      </c>
      <c r="N99" s="322">
        <f>IFERROR(E79/'2 Techn. Angaben &amp; Produktion'!F40,0)</f>
        <v>0</v>
      </c>
      <c r="P99" s="3" t="str">
        <f t="shared" ref="P99:P110" si="17">G99</f>
        <v>10. -1</v>
      </c>
      <c r="Q99" s="322">
        <f ca="1">IFERROR(H79/'2 Techn. Angaben &amp; Produktion'!Y40,0)</f>
        <v>0</v>
      </c>
      <c r="S99" s="3" t="str">
        <f t="shared" ref="S99:S110" si="18">J99</f>
        <v>10. 2024</v>
      </c>
      <c r="T99" s="322">
        <f>IFERROR(K79/'2 Techn. Angaben &amp; Produktion'!AB40,0)</f>
        <v>0</v>
      </c>
    </row>
    <row r="100" spans="1:21" x14ac:dyDescent="0.2">
      <c r="C100" s="307">
        <f t="shared" ref="C100:C111" si="19">C99+1</f>
        <v>2</v>
      </c>
      <c r="D100" s="3" t="str">
        <f>CONCATENATE(11,". ",Vorgaben!$C$2-6,"-",Vorgaben!$C$2-2)</f>
        <v>11. 2020-2024</v>
      </c>
      <c r="E100" s="323">
        <f>IFERROR(E80/'2 Techn. Angaben &amp; Produktion'!F41,0)</f>
        <v>0</v>
      </c>
      <c r="G100" s="3" t="str">
        <f t="shared" si="15"/>
        <v>11. -1</v>
      </c>
      <c r="H100" s="323">
        <f>IFERROR(H80/'2 Techn. Angaben &amp; Produktion'!N41,0)</f>
        <v>0</v>
      </c>
      <c r="J100" s="3" t="str">
        <f t="shared" si="16"/>
        <v>11. 2024</v>
      </c>
      <c r="K100" s="323">
        <f>IFERROR(K80/'2 Techn. Angaben &amp; Produktion'!R41,0)</f>
        <v>0</v>
      </c>
      <c r="M100" s="3" t="str">
        <f>CONCATENATE(11,". ",Vorgaben!$C$2-6,"-",Vorgaben!$C$2-2)</f>
        <v>11. 2020-2024</v>
      </c>
      <c r="N100" s="323">
        <f>IFERROR(E80/'2 Techn. Angaben &amp; Produktion'!F41,0)</f>
        <v>0</v>
      </c>
      <c r="P100" s="3" t="str">
        <f t="shared" si="17"/>
        <v>11. -1</v>
      </c>
      <c r="Q100" s="323">
        <f ca="1">IFERROR(H80/'2 Techn. Angaben &amp; Produktion'!Y41,0)</f>
        <v>0</v>
      </c>
      <c r="S100" s="3" t="str">
        <f t="shared" si="18"/>
        <v>11. 2024</v>
      </c>
      <c r="T100" s="323">
        <f>IFERROR(K80/'2 Techn. Angaben &amp; Produktion'!AB41,0)</f>
        <v>0</v>
      </c>
    </row>
    <row r="101" spans="1:21" ht="13.5" thickBot="1" x14ac:dyDescent="0.25">
      <c r="C101" s="307">
        <f t="shared" si="19"/>
        <v>3</v>
      </c>
      <c r="D101" s="275" t="str">
        <f>CONCATENATE(12,". ",Vorgaben!$C$2-6,"-",Vorgaben!$C$2-2)</f>
        <v>12. 2020-2024</v>
      </c>
      <c r="E101" s="324">
        <f>IFERROR(E81/'2 Techn. Angaben &amp; Produktion'!F42,0)</f>
        <v>0</v>
      </c>
      <c r="G101" s="314" t="str">
        <f t="shared" si="15"/>
        <v>12. -1</v>
      </c>
      <c r="H101" s="324">
        <f>IFERROR(H81/'2 Techn. Angaben &amp; Produktion'!N42,0)</f>
        <v>0</v>
      </c>
      <c r="J101" s="314" t="str">
        <f t="shared" si="16"/>
        <v>12. 2024</v>
      </c>
      <c r="K101" s="324">
        <f>IFERROR(K81/'2 Techn. Angaben &amp; Produktion'!R42,0)</f>
        <v>0</v>
      </c>
      <c r="M101" s="275" t="str">
        <f>CONCATENATE(12,". ",Vorgaben!$C$2-6,"-",Vorgaben!$C$2-2)</f>
        <v>12. 2020-2024</v>
      </c>
      <c r="N101" s="324">
        <f>IFERROR(E81/'2 Techn. Angaben &amp; Produktion'!F42,0)</f>
        <v>0</v>
      </c>
      <c r="P101" s="314" t="str">
        <f t="shared" si="17"/>
        <v>12. -1</v>
      </c>
      <c r="Q101" s="324">
        <f ca="1">IFERROR(H81/'2 Techn. Angaben &amp; Produktion'!Y42,0)</f>
        <v>0</v>
      </c>
      <c r="S101" s="314" t="str">
        <f t="shared" si="18"/>
        <v>12. 2024</v>
      </c>
      <c r="T101" s="324">
        <f>IFERROR(K81/'2 Techn. Angaben &amp; Produktion'!AB42,0)</f>
        <v>0</v>
      </c>
    </row>
    <row r="102" spans="1:21" x14ac:dyDescent="0.2">
      <c r="C102" s="307">
        <f t="shared" si="19"/>
        <v>4</v>
      </c>
      <c r="D102" s="3" t="str">
        <f>CONCATENATE(1,". ",Vorgaben!$C$2-5,"-",Vorgaben!$C$2-1)</f>
        <v>1. 2021-2025</v>
      </c>
      <c r="E102" s="322">
        <f>IFERROR(E82/'2 Techn. Angaben &amp; Produktion'!F43,0)</f>
        <v>0</v>
      </c>
      <c r="G102" s="3" t="str">
        <f t="shared" si="15"/>
        <v>1. 0</v>
      </c>
      <c r="H102" s="322">
        <f>IFERROR(H82/'2 Techn. Angaben &amp; Produktion'!N43,0)</f>
        <v>0</v>
      </c>
      <c r="J102" s="3" t="str">
        <f t="shared" si="16"/>
        <v>1. 2025</v>
      </c>
      <c r="K102" s="322">
        <f>IFERROR(K82/'2 Techn. Angaben &amp; Produktion'!R43,0)</f>
        <v>0</v>
      </c>
      <c r="M102" s="3" t="str">
        <f>CONCATENATE(1,". ",Vorgaben!$C$2-5,"-",Vorgaben!$C$2-1)</f>
        <v>1. 2021-2025</v>
      </c>
      <c r="N102" s="322">
        <f>IFERROR(E82/'2 Techn. Angaben &amp; Produktion'!F43,0)</f>
        <v>0</v>
      </c>
      <c r="P102" s="3" t="str">
        <f t="shared" si="17"/>
        <v>1. 0</v>
      </c>
      <c r="Q102" s="322">
        <f ca="1">IFERROR(H82/'2 Techn. Angaben &amp; Produktion'!Y43,0)</f>
        <v>0</v>
      </c>
      <c r="S102" s="3" t="str">
        <f t="shared" si="18"/>
        <v>1. 2025</v>
      </c>
      <c r="T102" s="322">
        <f>IFERROR(K82/'2 Techn. Angaben &amp; Produktion'!AB43,0)</f>
        <v>0</v>
      </c>
    </row>
    <row r="103" spans="1:21" x14ac:dyDescent="0.2">
      <c r="C103" s="307">
        <f t="shared" si="19"/>
        <v>5</v>
      </c>
      <c r="D103" s="3" t="str">
        <f>CONCATENATE(2,". ",Vorgaben!$C$2-5,"-",Vorgaben!$C$2-1)</f>
        <v>2. 2021-2025</v>
      </c>
      <c r="E103" s="323">
        <f>IFERROR(E83/'2 Techn. Angaben &amp; Produktion'!F44,0)</f>
        <v>0</v>
      </c>
      <c r="G103" s="3" t="str">
        <f t="shared" si="15"/>
        <v>2. 0</v>
      </c>
      <c r="H103" s="323">
        <f>IFERROR(H83/'2 Techn. Angaben &amp; Produktion'!N44,0)</f>
        <v>0</v>
      </c>
      <c r="J103" s="3" t="str">
        <f t="shared" si="16"/>
        <v>2. 2025</v>
      </c>
      <c r="K103" s="323">
        <f>IFERROR(K83/'2 Techn. Angaben &amp; Produktion'!R44,0)</f>
        <v>0</v>
      </c>
      <c r="M103" s="3" t="str">
        <f>CONCATENATE(2,". ",Vorgaben!$C$2-5,"-",Vorgaben!$C$2-1)</f>
        <v>2. 2021-2025</v>
      </c>
      <c r="N103" s="323">
        <f>IFERROR(E83/'2 Techn. Angaben &amp; Produktion'!F44,0)</f>
        <v>0</v>
      </c>
      <c r="P103" s="3" t="str">
        <f t="shared" si="17"/>
        <v>2. 0</v>
      </c>
      <c r="Q103" s="323">
        <f ca="1">IFERROR(H83/'2 Techn. Angaben &amp; Produktion'!Y44,0)</f>
        <v>0</v>
      </c>
      <c r="S103" s="3" t="str">
        <f t="shared" si="18"/>
        <v>2. 2025</v>
      </c>
      <c r="T103" s="323">
        <f>IFERROR(K83/'2 Techn. Angaben &amp; Produktion'!AB44,0)</f>
        <v>0</v>
      </c>
    </row>
    <row r="104" spans="1:21" ht="13.5" thickBot="1" x14ac:dyDescent="0.25">
      <c r="C104" s="307">
        <f t="shared" si="19"/>
        <v>6</v>
      </c>
      <c r="D104" s="275" t="str">
        <f>CONCATENATE(3,". ",Vorgaben!$C$2-5,"-",Vorgaben!$C$2-1)</f>
        <v>3. 2021-2025</v>
      </c>
      <c r="E104" s="324">
        <f>IFERROR(E84/'2 Techn. Angaben &amp; Produktion'!F45,0)</f>
        <v>0</v>
      </c>
      <c r="G104" s="314" t="str">
        <f t="shared" si="15"/>
        <v>3. 0</v>
      </c>
      <c r="H104" s="324">
        <f>IFERROR(H84/'2 Techn. Angaben &amp; Produktion'!N45,0)</f>
        <v>0</v>
      </c>
      <c r="J104" s="314" t="str">
        <f t="shared" si="16"/>
        <v>3. 2025</v>
      </c>
      <c r="K104" s="324">
        <f>IFERROR(K84/'2 Techn. Angaben &amp; Produktion'!R45,0)</f>
        <v>0</v>
      </c>
      <c r="M104" s="275" t="str">
        <f>CONCATENATE(3,". ",Vorgaben!$C$2-5,"-",Vorgaben!$C$2-1)</f>
        <v>3. 2021-2025</v>
      </c>
      <c r="N104" s="324">
        <f>IFERROR(E84/'2 Techn. Angaben &amp; Produktion'!F45,0)</f>
        <v>0</v>
      </c>
      <c r="P104" s="314" t="str">
        <f t="shared" si="17"/>
        <v>3. 0</v>
      </c>
      <c r="Q104" s="324">
        <f ca="1">IFERROR(H84/'2 Techn. Angaben &amp; Produktion'!Y45,0)</f>
        <v>0</v>
      </c>
      <c r="S104" s="314" t="str">
        <f t="shared" si="18"/>
        <v>3. 2025</v>
      </c>
      <c r="T104" s="324">
        <f>IFERROR(K84/'2 Techn. Angaben &amp; Produktion'!AB45,0)</f>
        <v>0</v>
      </c>
    </row>
    <row r="105" spans="1:21" x14ac:dyDescent="0.2">
      <c r="C105" s="307">
        <f t="shared" si="19"/>
        <v>7</v>
      </c>
      <c r="D105" s="3" t="str">
        <f>CONCATENATE(4,". ",Vorgaben!$C$2-5,"-",Vorgaben!$C$2-1)</f>
        <v>4. 2021-2025</v>
      </c>
      <c r="E105" s="322">
        <f>IFERROR(E85/'2 Techn. Angaben &amp; Produktion'!F46,0)</f>
        <v>0</v>
      </c>
      <c r="G105" s="3" t="str">
        <f t="shared" si="15"/>
        <v>4. 0</v>
      </c>
      <c r="H105" s="322">
        <f>IFERROR(H85/'2 Techn. Angaben &amp; Produktion'!N46,0)</f>
        <v>0</v>
      </c>
      <c r="J105" s="3" t="str">
        <f t="shared" si="16"/>
        <v>4. 2025</v>
      </c>
      <c r="K105" s="322">
        <f>IFERROR(K85/'2 Techn. Angaben &amp; Produktion'!R46,0)</f>
        <v>0</v>
      </c>
      <c r="M105" s="3" t="str">
        <f>CONCATENATE(4,". ",Vorgaben!$C$2-5,"-",Vorgaben!$C$2-1)</f>
        <v>4. 2021-2025</v>
      </c>
      <c r="N105" s="322">
        <f>IFERROR(E85/'2 Techn. Angaben &amp; Produktion'!F46,0)</f>
        <v>0</v>
      </c>
      <c r="P105" s="3" t="str">
        <f t="shared" si="17"/>
        <v>4. 0</v>
      </c>
      <c r="Q105" s="322">
        <f>IFERROR(H85/'2 Techn. Angaben &amp; Produktion'!Y46,0)</f>
        <v>0</v>
      </c>
      <c r="S105" s="3" t="str">
        <f t="shared" si="18"/>
        <v>4. 2025</v>
      </c>
      <c r="T105" s="322">
        <f>IFERROR(K85/'2 Techn. Angaben &amp; Produktion'!AB46,0)</f>
        <v>0</v>
      </c>
    </row>
    <row r="106" spans="1:21" x14ac:dyDescent="0.2">
      <c r="C106" s="307">
        <f t="shared" si="19"/>
        <v>8</v>
      </c>
      <c r="D106" s="3" t="str">
        <f>CONCATENATE(5,". ",Vorgaben!$C$2-5,"-",Vorgaben!$C$2-1)</f>
        <v>5. 2021-2025</v>
      </c>
      <c r="E106" s="323">
        <f>IFERROR(E86/'2 Techn. Angaben &amp; Produktion'!F47,0)</f>
        <v>0</v>
      </c>
      <c r="G106" s="3" t="str">
        <f t="shared" si="15"/>
        <v>5. 0</v>
      </c>
      <c r="H106" s="323">
        <f>IFERROR(H86/'2 Techn. Angaben &amp; Produktion'!N47,0)</f>
        <v>0</v>
      </c>
      <c r="J106" s="3" t="str">
        <f t="shared" si="16"/>
        <v>5. 2025</v>
      </c>
      <c r="K106" s="323">
        <f>IFERROR(K86/'2 Techn. Angaben &amp; Produktion'!R47,0)</f>
        <v>0</v>
      </c>
      <c r="M106" s="3" t="str">
        <f>CONCATENATE(5,". ",Vorgaben!$C$2-5,"-",Vorgaben!$C$2-1)</f>
        <v>5. 2021-2025</v>
      </c>
      <c r="N106" s="323">
        <f>IFERROR(E86/'2 Techn. Angaben &amp; Produktion'!F47,0)</f>
        <v>0</v>
      </c>
      <c r="P106" s="3" t="str">
        <f t="shared" si="17"/>
        <v>5. 0</v>
      </c>
      <c r="Q106" s="323">
        <f>IFERROR(H86/'2 Techn. Angaben &amp; Produktion'!Y47,0)</f>
        <v>0</v>
      </c>
      <c r="S106" s="3" t="str">
        <f t="shared" si="18"/>
        <v>5. 2025</v>
      </c>
      <c r="T106" s="323">
        <f>IFERROR(K86/'2 Techn. Angaben &amp; Produktion'!AB47,0)</f>
        <v>0</v>
      </c>
    </row>
    <row r="107" spans="1:21" ht="13.5" thickBot="1" x14ac:dyDescent="0.25">
      <c r="C107" s="307">
        <f t="shared" si="19"/>
        <v>9</v>
      </c>
      <c r="D107" s="275" t="str">
        <f>CONCATENATE(6,". ",Vorgaben!$C$2-5,"-",Vorgaben!$C$2-1)</f>
        <v>6. 2021-2025</v>
      </c>
      <c r="E107" s="324">
        <f>IFERROR(E87/'2 Techn. Angaben &amp; Produktion'!F48,0)</f>
        <v>0</v>
      </c>
      <c r="G107" s="314" t="str">
        <f t="shared" si="15"/>
        <v>6. 0</v>
      </c>
      <c r="H107" s="324">
        <f>IFERROR(H87/'2 Techn. Angaben &amp; Produktion'!N48,0)</f>
        <v>0</v>
      </c>
      <c r="J107" s="314" t="str">
        <f t="shared" si="16"/>
        <v>6. 2025</v>
      </c>
      <c r="K107" s="324">
        <f>IFERROR(K87/'2 Techn. Angaben &amp; Produktion'!R48,0)</f>
        <v>0</v>
      </c>
      <c r="M107" s="275" t="str">
        <f>CONCATENATE(6,". ",Vorgaben!$C$2-5,"-",Vorgaben!$C$2-1)</f>
        <v>6. 2021-2025</v>
      </c>
      <c r="N107" s="324">
        <f>IFERROR(E87/'2 Techn. Angaben &amp; Produktion'!F48,0)</f>
        <v>0</v>
      </c>
      <c r="P107" s="314" t="str">
        <f t="shared" si="17"/>
        <v>6. 0</v>
      </c>
      <c r="Q107" s="324">
        <f>IFERROR(H87/'2 Techn. Angaben &amp; Produktion'!Y48,0)</f>
        <v>0</v>
      </c>
      <c r="S107" s="314" t="str">
        <f t="shared" si="18"/>
        <v>6. 2025</v>
      </c>
      <c r="T107" s="324">
        <f>IFERROR(K87/'2 Techn. Angaben &amp; Produktion'!AB48,0)</f>
        <v>0</v>
      </c>
    </row>
    <row r="108" spans="1:21" x14ac:dyDescent="0.2">
      <c r="C108" s="307">
        <f t="shared" si="19"/>
        <v>10</v>
      </c>
      <c r="D108" s="3" t="str">
        <f>CONCATENATE(7,". ",Vorgaben!$C$2-5,"-",Vorgaben!$C$2-1)</f>
        <v>7. 2021-2025</v>
      </c>
      <c r="E108" s="322">
        <f>IFERROR(E88/'2 Techn. Angaben &amp; Produktion'!F49,0)</f>
        <v>0</v>
      </c>
      <c r="G108" s="3" t="str">
        <f t="shared" si="15"/>
        <v>7. 0</v>
      </c>
      <c r="H108" s="322">
        <f>IFERROR(H88/'2 Techn. Angaben &amp; Produktion'!N49,0)</f>
        <v>0</v>
      </c>
      <c r="J108" s="3" t="str">
        <f t="shared" si="16"/>
        <v>7. 2025</v>
      </c>
      <c r="K108" s="322">
        <f>IFERROR(K88/'2 Techn. Angaben &amp; Produktion'!R49,0)</f>
        <v>0</v>
      </c>
      <c r="M108" s="3" t="str">
        <f>CONCATENATE(7,". ",Vorgaben!$C$2-5,"-",Vorgaben!$C$2-1)</f>
        <v>7. 2021-2025</v>
      </c>
      <c r="N108" s="322">
        <f>IFERROR(E88/'2 Techn. Angaben &amp; Produktion'!F49,0)</f>
        <v>0</v>
      </c>
      <c r="P108" s="3" t="str">
        <f t="shared" si="17"/>
        <v>7. 0</v>
      </c>
      <c r="Q108" s="322">
        <f>IFERROR(H88/'2 Techn. Angaben &amp; Produktion'!Y49,0)</f>
        <v>0</v>
      </c>
      <c r="S108" s="3" t="str">
        <f t="shared" si="18"/>
        <v>7. 2025</v>
      </c>
      <c r="T108" s="322">
        <f>IFERROR(K88/'2 Techn. Angaben &amp; Produktion'!AB49,0)</f>
        <v>0</v>
      </c>
    </row>
    <row r="109" spans="1:21" x14ac:dyDescent="0.2">
      <c r="C109" s="307">
        <f t="shared" si="19"/>
        <v>11</v>
      </c>
      <c r="D109" s="3" t="str">
        <f>CONCATENATE(8,". ",Vorgaben!$C$2-5,"-",Vorgaben!$C$2-1)</f>
        <v>8. 2021-2025</v>
      </c>
      <c r="E109" s="323">
        <f>IFERROR(E89/'2 Techn. Angaben &amp; Produktion'!F50,0)</f>
        <v>0</v>
      </c>
      <c r="G109" s="3" t="str">
        <f t="shared" si="15"/>
        <v>8. 0</v>
      </c>
      <c r="H109" s="323">
        <f>IFERROR(H89/'2 Techn. Angaben &amp; Produktion'!N50,0)</f>
        <v>0</v>
      </c>
      <c r="J109" s="3" t="str">
        <f t="shared" si="16"/>
        <v>8. 2025</v>
      </c>
      <c r="K109" s="323">
        <f>IFERROR(K89/'2 Techn. Angaben &amp; Produktion'!R50,0)</f>
        <v>0</v>
      </c>
      <c r="M109" s="3" t="str">
        <f>CONCATENATE(8,". ",Vorgaben!$C$2-5,"-",Vorgaben!$C$2-1)</f>
        <v>8. 2021-2025</v>
      </c>
      <c r="N109" s="323">
        <f>IFERROR(E89/'2 Techn. Angaben &amp; Produktion'!F50,0)</f>
        <v>0</v>
      </c>
      <c r="P109" s="3" t="str">
        <f t="shared" si="17"/>
        <v>8. 0</v>
      </c>
      <c r="Q109" s="323">
        <f>IFERROR(H89/'2 Techn. Angaben &amp; Produktion'!Y50,0)</f>
        <v>0</v>
      </c>
      <c r="S109" s="3" t="str">
        <f t="shared" si="18"/>
        <v>8. 2025</v>
      </c>
      <c r="T109" s="323">
        <f>IFERROR(K89/'2 Techn. Angaben &amp; Produktion'!AB50,0)</f>
        <v>0</v>
      </c>
    </row>
    <row r="110" spans="1:21" ht="13.5" thickBot="1" x14ac:dyDescent="0.25">
      <c r="C110" s="307">
        <f t="shared" si="19"/>
        <v>12</v>
      </c>
      <c r="D110" s="275" t="str">
        <f>CONCATENATE(9,". ",Vorgaben!$C$2-5,"-",Vorgaben!$C$2-1)</f>
        <v>9. 2021-2025</v>
      </c>
      <c r="E110" s="324">
        <f>IFERROR(E90/'2 Techn. Angaben &amp; Produktion'!F51,0)</f>
        <v>0</v>
      </c>
      <c r="G110" s="314" t="str">
        <f t="shared" si="15"/>
        <v>9. 0</v>
      </c>
      <c r="H110" s="324">
        <f>IFERROR(H90/'2 Techn. Angaben &amp; Produktion'!N51,0)</f>
        <v>0</v>
      </c>
      <c r="J110" s="314" t="str">
        <f t="shared" si="16"/>
        <v>9. 2025</v>
      </c>
      <c r="K110" s="324">
        <f>IFERROR(K90/'2 Techn. Angaben &amp; Produktion'!R51,0)</f>
        <v>0</v>
      </c>
      <c r="M110" s="275" t="str">
        <f>CONCATENATE(9,". ",Vorgaben!$C$2-5,"-",Vorgaben!$C$2-1)</f>
        <v>9. 2021-2025</v>
      </c>
      <c r="N110" s="324">
        <f>IFERROR(E90/'2 Techn. Angaben &amp; Produktion'!F51,0)</f>
        <v>0</v>
      </c>
      <c r="P110" s="314" t="str">
        <f t="shared" si="17"/>
        <v>9. 0</v>
      </c>
      <c r="Q110" s="324">
        <f>IFERROR(H90/'2 Techn. Angaben &amp; Produktion'!Y51,0)</f>
        <v>0</v>
      </c>
      <c r="S110" s="314" t="str">
        <f t="shared" si="18"/>
        <v>9. 2025</v>
      </c>
      <c r="T110" s="324">
        <f>IFERROR(K90/'2 Techn. Angaben &amp; Produktion'!AB51,0)</f>
        <v>0</v>
      </c>
    </row>
    <row r="111" spans="1:21" ht="21" customHeight="1" x14ac:dyDescent="0.2">
      <c r="C111" s="5">
        <f t="shared" si="19"/>
        <v>13</v>
      </c>
      <c r="E111" s="325">
        <f>IFERROR(E91/'2 Techn. Angaben &amp; Produktion'!F55,0)</f>
        <v>0</v>
      </c>
      <c r="H111" s="325">
        <f>IFERROR(H91/'2 Techn. Angaben &amp; Produktion'!N55,0)</f>
        <v>0</v>
      </c>
      <c r="K111" s="325">
        <f>IFERROR(K91/'2 Techn. Angaben &amp; Produktion'!R55,0)</f>
        <v>0</v>
      </c>
      <c r="N111" s="325">
        <f>IFERROR(E91/'2 Techn. Angaben &amp; Produktion'!F55,0)</f>
        <v>0</v>
      </c>
      <c r="Q111" s="325">
        <f ca="1">IFERROR(H91/'2 Techn. Angaben &amp; Produktion'!Y55,0)</f>
        <v>0</v>
      </c>
      <c r="T111" s="325">
        <f>IFERROR(K91/'2 Techn. Angaben &amp; Produktion'!AB55,0)</f>
        <v>0</v>
      </c>
    </row>
    <row r="112" spans="1:21" ht="13.5" thickBot="1" x14ac:dyDescent="0.25">
      <c r="A112" s="271"/>
      <c r="B112" s="271"/>
      <c r="C112" s="271"/>
      <c r="D112" s="271"/>
      <c r="E112" s="271"/>
      <c r="F112" s="271"/>
      <c r="G112" s="271"/>
      <c r="H112" s="271"/>
      <c r="I112" s="271"/>
      <c r="J112" s="271"/>
      <c r="K112" s="271"/>
      <c r="L112" s="271"/>
      <c r="M112" s="271"/>
      <c r="N112" s="271"/>
      <c r="O112" s="271"/>
      <c r="P112" s="271"/>
      <c r="Q112" s="271"/>
      <c r="R112" s="271"/>
      <c r="S112" s="271"/>
      <c r="T112" s="271"/>
    </row>
    <row r="113" spans="1:11" ht="26.1" customHeight="1" x14ac:dyDescent="0.2">
      <c r="A113" s="12" t="str">
        <f ca="1">OFFSET(Sprachen!A457,0,'START, DÉBUT, INIZIO'!$D$4-1,1,1)</f>
        <v>Erlös aus Absicherung am Terminmarkt</v>
      </c>
      <c r="B113" s="1"/>
      <c r="C113" s="1"/>
      <c r="D113" s="3"/>
      <c r="E113" s="900"/>
      <c r="F113" s="900"/>
      <c r="G113" s="900"/>
      <c r="H113" s="900"/>
      <c r="I113" s="900"/>
    </row>
    <row r="114" spans="1:11" ht="25.5" x14ac:dyDescent="0.2">
      <c r="E114" s="320" t="str">
        <f ca="1">OFFSET(Sprachen!A458,0,'START, DÉBUT, INIZIO'!$D$4-1,1,1)</f>
        <v>vor Investition (5-J-Mittelwert)</v>
      </c>
      <c r="H114" s="320" t="str">
        <f ca="1">OFFSET(Sprachen!A459,0,'START, DÉBUT, INIZIO'!$D$4-1,1,1)</f>
        <v xml:space="preserve">nach Investition (Erwartungswert) </v>
      </c>
    </row>
    <row r="115" spans="1:11" x14ac:dyDescent="0.2">
      <c r="B115" s="1" t="str">
        <f ca="1">OFFSET(Sprachen!A460,0,'START, DÉBUT, INIZIO'!$D$4-1,1,1)</f>
        <v>Nettoproduktion</v>
      </c>
      <c r="D115" s="306">
        <v>1</v>
      </c>
      <c r="E115" s="6">
        <f>'2 Techn. Angaben &amp; Produktion'!F55</f>
        <v>0</v>
      </c>
      <c r="F115" s="1" t="s">
        <v>148</v>
      </c>
      <c r="H115" s="6">
        <f>'2 Techn. Angaben &amp; Produktion'!N55</f>
        <v>0</v>
      </c>
      <c r="I115" s="1" t="s">
        <v>148</v>
      </c>
    </row>
    <row r="116" spans="1:11" x14ac:dyDescent="0.2">
      <c r="B116" s="1" t="str">
        <f ca="1">OFFSET(Sprachen!A461,0,'START, DÉBUT, INIZIO'!$D$4-1,1,1)</f>
        <v>Ersatz-/Einstau-/Austauschenergie</v>
      </c>
      <c r="D116" s="307">
        <f t="shared" ref="D116:D127" si="20">D115+1</f>
        <v>2</v>
      </c>
      <c r="E116" s="794"/>
      <c r="F116" s="1" t="s">
        <v>148</v>
      </c>
      <c r="H116" s="794"/>
      <c r="I116" s="1" t="s">
        <v>148</v>
      </c>
    </row>
    <row r="117" spans="1:11" x14ac:dyDescent="0.2">
      <c r="B117" s="1" t="str">
        <f ca="1">OFFSET(Sprachen!A462,0,'START, DÉBUT, INIZIO'!$D$4-1,1,1)</f>
        <v>Umwälzproduktion</v>
      </c>
      <c r="D117" s="307">
        <f t="shared" si="20"/>
        <v>3</v>
      </c>
      <c r="E117" s="794"/>
      <c r="F117" s="1" t="s">
        <v>148</v>
      </c>
      <c r="H117" s="794"/>
      <c r="I117" s="1" t="s">
        <v>148</v>
      </c>
      <c r="K117" s="8">
        <f>H115-E115</f>
        <v>0</v>
      </c>
    </row>
    <row r="118" spans="1:11" x14ac:dyDescent="0.2">
      <c r="B118" s="1" t="str">
        <f ca="1">OFFSET(Sprachen!A463,0,'START, DÉBUT, INIZIO'!$D$4-1,1,1)</f>
        <v>Konzessionsenergie</v>
      </c>
      <c r="D118" s="307">
        <f t="shared" si="20"/>
        <v>4</v>
      </c>
      <c r="E118" s="794"/>
      <c r="F118" s="1" t="s">
        <v>148</v>
      </c>
      <c r="H118" s="794"/>
      <c r="I118" s="1" t="s">
        <v>148</v>
      </c>
      <c r="K118">
        <f>K117*H125</f>
        <v>0</v>
      </c>
    </row>
    <row r="119" spans="1:11" x14ac:dyDescent="0.2">
      <c r="B119" s="1" t="str">
        <f ca="1">OFFSET(Sprachen!A464,0,'START, DÉBUT, INIZIO'!$D$4-1,1,1)</f>
        <v>Erwartungswert der abzusichernden Produktion</v>
      </c>
      <c r="D119" s="307">
        <f t="shared" si="20"/>
        <v>5</v>
      </c>
      <c r="E119" s="6">
        <f>E115-E116-E117-E118</f>
        <v>0</v>
      </c>
      <c r="F119" s="1" t="s">
        <v>148</v>
      </c>
      <c r="H119" s="6">
        <f>H115-H116-H117-H118</f>
        <v>0</v>
      </c>
      <c r="I119" s="1" t="s">
        <v>148</v>
      </c>
    </row>
    <row r="120" spans="1:11" x14ac:dyDescent="0.2">
      <c r="B120" s="1" t="str">
        <f ca="1">OFFSET(Sprachen!A465,0,'START, DÉBUT, INIZIO'!$D$4-1,1,1)</f>
        <v>Abzusichernder Anteil</v>
      </c>
      <c r="D120" s="307">
        <f t="shared" si="20"/>
        <v>6</v>
      </c>
      <c r="E120" s="326">
        <f>Vorgaben!$C$6</f>
        <v>0.8</v>
      </c>
      <c r="H120" s="326">
        <f>Vorgaben!$C$6</f>
        <v>0.8</v>
      </c>
    </row>
    <row r="121" spans="1:11" x14ac:dyDescent="0.2">
      <c r="B121" s="1" t="str">
        <f ca="1">OFFSET(Sprachen!A466,0,'START, DÉBUT, INIZIO'!$D$4-1,1,1)</f>
        <v>Abzusichernde Produktion</v>
      </c>
      <c r="D121" s="307">
        <f t="shared" si="20"/>
        <v>7</v>
      </c>
      <c r="E121" s="6">
        <f>E119*E120</f>
        <v>0</v>
      </c>
      <c r="F121" s="1" t="s">
        <v>148</v>
      </c>
      <c r="H121" s="6">
        <f>H119*H120</f>
        <v>0</v>
      </c>
      <c r="I121" s="1" t="s">
        <v>148</v>
      </c>
    </row>
    <row r="122" spans="1:11" x14ac:dyDescent="0.2">
      <c r="B122" s="1"/>
      <c r="D122" s="307">
        <f t="shared" si="20"/>
        <v>8</v>
      </c>
    </row>
    <row r="123" spans="1:11" x14ac:dyDescent="0.2">
      <c r="B123" s="1" t="str">
        <f ca="1">OFFSET(Sprachen!A467,0,'START, DÉBUT, INIZIO'!$D$4-1,1,1)</f>
        <v>Durchschnittlicher Absicherungspreis Terminmarkt</v>
      </c>
      <c r="D123" s="307">
        <f t="shared" si="20"/>
        <v>9</v>
      </c>
      <c r="E123" s="327">
        <f>Vorgaben!$J$69</f>
        <v>122.92624333956041</v>
      </c>
      <c r="F123" s="1" t="s">
        <v>10</v>
      </c>
      <c r="H123" s="327">
        <f>E123</f>
        <v>122.92624333956041</v>
      </c>
      <c r="I123" s="1" t="s">
        <v>10</v>
      </c>
      <c r="J123" s="1" t="str">
        <f ca="1">OFFSET(Sprachen!A474,0,'START, DÉBUT, INIZIO'!$D$4-1,1,1)</f>
        <v>(Durchschnitt über den Handelszeitraum Q4 2021 bis Q3 2024, siehe Blatt 'Termin &amp; FX')</v>
      </c>
    </row>
    <row r="124" spans="1:11" x14ac:dyDescent="0.2">
      <c r="B124" s="1" t="str">
        <f ca="1">OFFSET(Sprachen!A468,0,'START, DÉBUT, INIZIO'!$D$4-1,1,1)</f>
        <v>Durchschnittlicher Erlös Day-Ahead-Markt</v>
      </c>
      <c r="D124" s="307">
        <f t="shared" si="20"/>
        <v>10</v>
      </c>
      <c r="E124" s="325">
        <f>E111</f>
        <v>0</v>
      </c>
      <c r="F124" s="1" t="s">
        <v>10</v>
      </c>
      <c r="H124" s="325">
        <f>H111</f>
        <v>0</v>
      </c>
      <c r="I124" s="1" t="s">
        <v>10</v>
      </c>
    </row>
    <row r="125" spans="1:11" x14ac:dyDescent="0.2">
      <c r="B125" s="1" t="str">
        <f ca="1">OFFSET(Sprachen!A469,0,'START, DÉBUT, INIZIO'!$D$4-1,1,1)</f>
        <v>Bewertung für abzusichernde Produktion</v>
      </c>
      <c r="D125" s="307">
        <f t="shared" si="20"/>
        <v>11</v>
      </c>
      <c r="E125" s="327">
        <f>E123-E124</f>
        <v>122.92624333956041</v>
      </c>
      <c r="F125" s="1" t="s">
        <v>10</v>
      </c>
      <c r="H125" s="327">
        <f>H123-H124</f>
        <v>122.92624333956041</v>
      </c>
      <c r="I125" s="1" t="s">
        <v>10</v>
      </c>
    </row>
    <row r="126" spans="1:11" x14ac:dyDescent="0.2">
      <c r="B126" s="1"/>
      <c r="D126" s="307">
        <f t="shared" si="20"/>
        <v>12</v>
      </c>
    </row>
    <row r="127" spans="1:11" x14ac:dyDescent="0.2">
      <c r="B127" s="1" t="str">
        <f ca="1">OFFSET(Sprachen!A470,0,'START, DÉBUT, INIZIO'!$D$4-1,1,1)</f>
        <v>Erlös Absicherung am Terminmarkt</v>
      </c>
      <c r="D127" s="307">
        <f t="shared" si="20"/>
        <v>13</v>
      </c>
      <c r="E127" s="6">
        <f>E121*E125</f>
        <v>0</v>
      </c>
      <c r="F127" s="1" t="s">
        <v>123</v>
      </c>
      <c r="H127" s="6">
        <f>H121*H125</f>
        <v>0</v>
      </c>
      <c r="I127" s="1" t="s">
        <v>123</v>
      </c>
    </row>
    <row r="128" spans="1:11" x14ac:dyDescent="0.2">
      <c r="C128" s="312"/>
      <c r="D128" s="312"/>
      <c r="E128" s="312"/>
      <c r="F128" s="312"/>
      <c r="G128" s="312"/>
      <c r="H128" s="308">
        <f>H127-E127</f>
        <v>0</v>
      </c>
      <c r="I128" s="309" t="s">
        <v>123</v>
      </c>
      <c r="J128" s="309" t="str">
        <f ca="1">OFFSET(Sprachen!A475,0,'START, DÉBUT, INIZIO'!$D$4-1,1,1)</f>
        <v>Mehrerlös Absicherung am Terminmarkt</v>
      </c>
    </row>
    <row r="129" spans="1:18" ht="13.5" thickBot="1" x14ac:dyDescent="0.25">
      <c r="A129" s="271"/>
      <c r="B129" s="271"/>
      <c r="C129" s="271"/>
      <c r="D129" s="271"/>
      <c r="E129" s="271"/>
      <c r="F129" s="271"/>
      <c r="G129" s="271"/>
      <c r="H129" s="271"/>
      <c r="I129" s="271"/>
      <c r="J129" s="271"/>
      <c r="K129" s="271"/>
      <c r="L129" s="271"/>
      <c r="M129" s="271"/>
      <c r="N129" s="271"/>
      <c r="O129" s="271"/>
      <c r="P129" s="271"/>
      <c r="Q129" s="271"/>
      <c r="R129" s="271"/>
    </row>
    <row r="130" spans="1:18" ht="26.1" customHeight="1" x14ac:dyDescent="0.2">
      <c r="A130" s="12" t="str">
        <f ca="1">OFFSET(Sprachen!A476,0,'START, DÉBUT, INIZIO'!$D$4-1,1,1)</f>
        <v>Investitionsbedingter Erlös aus Systemdienstleistungen</v>
      </c>
      <c r="B130" s="1"/>
      <c r="C130" s="1"/>
      <c r="D130" s="3"/>
      <c r="E130" s="900"/>
      <c r="F130" s="900"/>
      <c r="G130" s="900"/>
      <c r="H130" s="900"/>
      <c r="I130" s="900"/>
    </row>
    <row r="131" spans="1:18" x14ac:dyDescent="0.2">
      <c r="B131" s="1" t="str">
        <f ca="1">OFFSET(Sprachen!A477,0,'START, DÉBUT, INIZIO'!$D$4-1,1,1)</f>
        <v>resultierender SDL-Typ</v>
      </c>
      <c r="E131" s="3" t="str">
        <f ca="1">OFFSET(Sprachen!A484,0,'START, DÉBUT, INIZIO'!$D$4-1,1,1)</f>
        <v>NST</v>
      </c>
      <c r="G131" s="1" t="str">
        <f ca="1">OFFSET(Sprachen!A480,0,'START, DÉBUT, INIZIO'!$D$4-1,1,1)</f>
        <v>(steuerbar &gt;=3 MW (ST), nicht steuerbar oder &lt;3 MW (NST), Pumpspeicher- oder Umwälzkraftwerk (PU))</v>
      </c>
      <c r="P131" s="3" t="s">
        <v>155</v>
      </c>
    </row>
    <row r="132" spans="1:18" x14ac:dyDescent="0.2">
      <c r="B132" s="4" t="str">
        <f ca="1">OFFSET(Sprachen!A478,0,'START, DÉBUT, INIZIO'!$D$4-1,1,1)</f>
        <v>zusätzlich installierte Leistung aus Investition</v>
      </c>
      <c r="D132" s="306">
        <v>1</v>
      </c>
      <c r="E132" s="329">
        <f>'2 Techn. Angaben &amp; Produktion'!$J$11</f>
        <v>0</v>
      </c>
      <c r="F132" s="1" t="s">
        <v>114</v>
      </c>
      <c r="O132" s="14" t="str">
        <f ca="1">OFFSET(Sprachen!A701,0,'START, DÉBUT, INIZIO'!$D$4-1,1,1)</f>
        <v>NST</v>
      </c>
      <c r="P132" s="245">
        <f>Vorgaben!Y29</f>
        <v>2607.3208785379038</v>
      </c>
    </row>
    <row r="133" spans="1:18" x14ac:dyDescent="0.2">
      <c r="B133" s="1" t="str">
        <f ca="1">OFFSET(Sprachen!A479,0,'START, DÉBUT, INIZIO'!$D$4-1,1,1)</f>
        <v>Spezifischer Erlös</v>
      </c>
      <c r="D133" s="307">
        <f>D132+1</f>
        <v>2</v>
      </c>
      <c r="E133" s="6">
        <f ca="1">VLOOKUP($E$131,$O$132:$P$134,2,0)</f>
        <v>2607.3208785379038</v>
      </c>
      <c r="F133" s="1" t="s">
        <v>155</v>
      </c>
      <c r="O133" s="14" t="str">
        <f ca="1">OFFSET(Sprachen!A702,0,'START, DÉBUT, INIZIO'!$D$4-1,1,1)</f>
        <v>ST</v>
      </c>
      <c r="P133" s="245">
        <f>Vorgaben!Y30</f>
        <v>977.09985163724161</v>
      </c>
    </row>
    <row r="134" spans="1:18" x14ac:dyDescent="0.2">
      <c r="D134" s="307">
        <f>D133+1</f>
        <v>3</v>
      </c>
      <c r="E134" s="308">
        <f ca="1">E132*E133</f>
        <v>0</v>
      </c>
      <c r="F134" s="309" t="s">
        <v>123</v>
      </c>
      <c r="G134" s="309" t="str">
        <f ca="1">OFFSET(Sprachen!A485,0,'START, DÉBUT, INIZIO'!$D$4-1,1,1)</f>
        <v>Mehrerlös Systemdienstleistungen</v>
      </c>
      <c r="O134" s="14" t="str">
        <f ca="1">OFFSET(Sprachen!A703,0,'START, DÉBUT, INIZIO'!$D$4-1,1,1)</f>
        <v>PU</v>
      </c>
      <c r="P134" s="245">
        <f>Vorgaben!Y31</f>
        <v>10999.960510303179</v>
      </c>
    </row>
    <row r="135" spans="1:18" ht="13.5" thickBot="1" x14ac:dyDescent="0.25">
      <c r="A135" s="271"/>
      <c r="B135" s="271"/>
      <c r="C135" s="271"/>
      <c r="D135" s="271"/>
      <c r="E135" s="271"/>
      <c r="F135" s="271"/>
      <c r="G135" s="271"/>
      <c r="H135" s="271"/>
      <c r="I135" s="271"/>
      <c r="J135" s="271"/>
      <c r="K135" s="271"/>
      <c r="L135" s="271"/>
      <c r="M135" s="271"/>
      <c r="N135" s="271"/>
      <c r="O135" s="271"/>
      <c r="P135" s="271"/>
      <c r="Q135" s="271"/>
      <c r="R135" s="271"/>
    </row>
    <row r="136" spans="1:18" ht="26.1" customHeight="1" x14ac:dyDescent="0.2">
      <c r="A136" s="12" t="str">
        <f ca="1">OFFSET(Sprachen!A486,0,'START, DÉBUT, INIZIO'!$D$4-1,1,1)</f>
        <v>Investitionsbedingter Erlös aus Herkunftsnachweisen (HKN)</v>
      </c>
      <c r="B136" s="1"/>
      <c r="C136" s="1"/>
      <c r="D136" s="3"/>
      <c r="E136" s="900"/>
      <c r="F136" s="900"/>
      <c r="G136" s="900"/>
      <c r="H136" s="900"/>
      <c r="I136" s="900"/>
    </row>
    <row r="137" spans="1:18" x14ac:dyDescent="0.2">
      <c r="B137" s="1" t="str">
        <f ca="1">OFFSET(Sprachen!A487,0,'START, DÉBUT, INIZIO'!$D$4-1,1,1)</f>
        <v>HKN-Mehrproduktion aus Investition</v>
      </c>
      <c r="D137" s="306">
        <v>1</v>
      </c>
      <c r="E137" s="6">
        <f>'2 Techn. Angaben &amp; Produktion'!$R$86</f>
        <v>0</v>
      </c>
      <c r="F137" s="1" t="s">
        <v>148</v>
      </c>
    </row>
    <row r="138" spans="1:18" x14ac:dyDescent="0.2">
      <c r="B138" s="1" t="str">
        <f ca="1">OFFSET(Sprachen!A488,0,'START, DÉBUT, INIZIO'!$D$4-1,1,1)</f>
        <v>Spezifischer Erlös</v>
      </c>
      <c r="D138" s="307">
        <f>D137+1</f>
        <v>2</v>
      </c>
      <c r="E138" s="327" t="e">
        <f>SUMPRODUCT('2 Techn. Angaben &amp; Produktion'!$R$71:$R$82,Vorgaben!$G$35:$G$46)/'2 Techn. Angaben &amp; Produktion'!$R$86</f>
        <v>#DIV/0!</v>
      </c>
      <c r="F138" s="1" t="s">
        <v>10</v>
      </c>
    </row>
    <row r="139" spans="1:18" x14ac:dyDescent="0.2">
      <c r="D139" s="307">
        <f>D138+1</f>
        <v>3</v>
      </c>
      <c r="E139" s="308" t="e">
        <f>E137*E138</f>
        <v>#DIV/0!</v>
      </c>
      <c r="F139" s="309" t="s">
        <v>123</v>
      </c>
      <c r="G139" s="309" t="str">
        <f ca="1">OFFSET(Sprachen!A489,0,'START, DÉBUT, INIZIO'!$D$4-1,1,1)</f>
        <v>Mehrerlös Herkunftsnachweise</v>
      </c>
    </row>
    <row r="140" spans="1:18" ht="13.5" thickBot="1" x14ac:dyDescent="0.25">
      <c r="A140" s="271"/>
      <c r="B140" s="271"/>
      <c r="C140" s="271"/>
      <c r="D140" s="271"/>
      <c r="E140" s="271"/>
      <c r="F140" s="271"/>
      <c r="G140" s="271"/>
      <c r="H140" s="271"/>
      <c r="I140" s="271"/>
      <c r="J140" s="271"/>
      <c r="K140" s="271"/>
      <c r="L140" s="271"/>
      <c r="M140" s="271"/>
      <c r="N140" s="271"/>
      <c r="O140" s="271"/>
      <c r="P140" s="271"/>
      <c r="Q140" s="271"/>
      <c r="R140" s="271"/>
    </row>
    <row r="141" spans="1:18" ht="26.1" customHeight="1" x14ac:dyDescent="0.2">
      <c r="A141" s="12" t="str">
        <f ca="1">OFFSET(Sprachen!A490,0,'START, DÉBUT, INIZIO'!$D$4-1,1,1)</f>
        <v>Investitionsbedingter Erlös aus Winterreserve</v>
      </c>
      <c r="B141" s="1"/>
      <c r="C141" s="1"/>
      <c r="D141" s="3"/>
      <c r="E141" s="900"/>
      <c r="F141" s="900"/>
      <c r="G141" s="900"/>
      <c r="H141" s="900"/>
      <c r="I141" s="900"/>
    </row>
    <row r="142" spans="1:18" x14ac:dyDescent="0.2">
      <c r="B142" t="str">
        <f ca="1">OFFSET(Sprachen!A491,0,'START, DÉBUT, INIZIO'!$D$4-1,1,1)</f>
        <v>Investitionsbedingte zusätzliche Speicherkapazität</v>
      </c>
      <c r="D142" s="306">
        <v>1</v>
      </c>
      <c r="E142" s="6">
        <f>'2 Techn. Angaben &amp; Produktion'!$J$22</f>
        <v>0</v>
      </c>
      <c r="F142" s="1" t="s">
        <v>148</v>
      </c>
    </row>
    <row r="143" spans="1:18" x14ac:dyDescent="0.2">
      <c r="B143" t="str">
        <f ca="1">OFFSET(Sprachen!A492,0,'START, DÉBUT, INIZIO'!$D$4-1,1,1)</f>
        <v>Anteil Vorhaltemenge für die ganze CH Wasserkraftreserve</v>
      </c>
      <c r="D143" s="307">
        <f>D142+1</f>
        <v>2</v>
      </c>
      <c r="E143" s="331">
        <f>Vorgaben!$D$58</f>
        <v>2.9540352120997284E-2</v>
      </c>
    </row>
    <row r="144" spans="1:18" x14ac:dyDescent="0.2">
      <c r="B144" t="str">
        <f ca="1">OFFSET(Sprachen!A493,0,'START, DÉBUT, INIZIO'!$D$4-1,1,1)</f>
        <v>Zu vergütende investitionsbedingte zusätzliche Speicherkapazität</v>
      </c>
      <c r="D144" s="307">
        <f>D143+1</f>
        <v>3</v>
      </c>
      <c r="E144" s="6">
        <f>E142*E143</f>
        <v>0</v>
      </c>
      <c r="F144" s="1" t="s">
        <v>148</v>
      </c>
    </row>
    <row r="145" spans="1:18" x14ac:dyDescent="0.2">
      <c r="B145" t="str">
        <f ca="1">OFFSET(Sprachen!A494,0,'START, DÉBUT, INIZIO'!$D$4-1,1,1)</f>
        <v>Ansatz für Pauschalabgeltung</v>
      </c>
      <c r="D145" s="307">
        <f>D144+1</f>
        <v>4</v>
      </c>
      <c r="E145" s="327">
        <f>Vorgaben!$D$60</f>
        <v>62.789328632</v>
      </c>
      <c r="F145" s="1" t="s">
        <v>10</v>
      </c>
    </row>
    <row r="146" spans="1:18" x14ac:dyDescent="0.2">
      <c r="D146" s="307">
        <f>D145+1</f>
        <v>5</v>
      </c>
      <c r="E146" s="308">
        <f>E144*E145</f>
        <v>0</v>
      </c>
      <c r="F146" s="309" t="s">
        <v>123</v>
      </c>
      <c r="G146" s="309" t="str">
        <f ca="1">OFFSET(Sprachen!A495,0,'START, DÉBUT, INIZIO'!$D$4-1,1,1)</f>
        <v>Mehrerlös Winterreserve</v>
      </c>
    </row>
    <row r="147" spans="1:18" ht="13.5" thickBot="1" x14ac:dyDescent="0.25">
      <c r="A147" s="271"/>
      <c r="B147" s="271"/>
      <c r="C147" s="271"/>
      <c r="D147" s="271"/>
      <c r="E147" s="271"/>
      <c r="F147" s="271"/>
      <c r="G147" s="271"/>
      <c r="H147" s="271"/>
      <c r="I147" s="271"/>
      <c r="J147" s="271"/>
      <c r="K147" s="271"/>
      <c r="L147" s="271"/>
      <c r="M147" s="271"/>
      <c r="N147" s="271"/>
      <c r="O147" s="271"/>
      <c r="P147" s="271"/>
      <c r="Q147" s="271"/>
      <c r="R147" s="271"/>
    </row>
    <row r="148" spans="1:18" ht="26.1" customHeight="1" x14ac:dyDescent="0.2">
      <c r="A148" s="12" t="str">
        <f ca="1">OFFSET(Sprachen!A496,0,'START, DÉBUT, INIZIO'!$D$4-1,1,1)</f>
        <v>Übersteigender Teil</v>
      </c>
      <c r="B148" s="1"/>
      <c r="C148" s="1"/>
      <c r="D148" s="3"/>
      <c r="E148" s="900"/>
      <c r="F148" s="900"/>
      <c r="G148" s="900"/>
      <c r="H148" s="900"/>
      <c r="I148" s="900"/>
    </row>
    <row r="149" spans="1:18" ht="145.5" x14ac:dyDescent="0.2">
      <c r="B149" s="330" t="str">
        <f ca="1">OFFSET(Sprachen!A497,0,'START, DÉBUT, INIZIO'!$D$4-1,1,1)</f>
        <v>Die jeweiligen Jahreserlöse werden proportional zur Mehrproduktion auf die Monate verteilt</v>
      </c>
      <c r="E149" s="343" t="str">
        <f ca="1">OFFSET(Sprachen!A499,0,'START, DÉBUT, INIZIO'!$D$4-1,1,1)</f>
        <v>Mehrproduktion aus Investition
(inkl neue Speicherkapazität)</v>
      </c>
      <c r="F149" s="343" t="str">
        <f ca="1">OFFSET(Sprachen!A500,0,'START, DÉBUT, INIZIO'!$D$4-1,1,1)</f>
        <v>Erlös Day-Ahead (spezifisch)</v>
      </c>
      <c r="G149" s="343" t="str">
        <f ca="1">OFFSET(Sprachen!A502,0,'START, DÉBUT, INIZIO'!$D$4-1,1,1)</f>
        <v>Erlös Day-Ahead (absolut)</v>
      </c>
      <c r="H149" s="343" t="str">
        <f ca="1">OFFSET(Sprachen!A504,0,'START, DÉBUT, INIZIO'!$D$4-1,1,1)</f>
        <v>Erlös Terminmarktabsicherung</v>
      </c>
      <c r="I149" s="343" t="str">
        <f ca="1">OFFSET(Sprachen!A505,0,'START, DÉBUT, INIZIO'!$D$4-1,1,1)</f>
        <v>Erlös Systemdienstleistungsmarkt</v>
      </c>
      <c r="J149" s="343" t="str">
        <f ca="1">OFFSET(Sprachen!A506,0,'START, DÉBUT, INIZIO'!$D$4-1,1,1)</f>
        <v>Erlös Herkunftsnachweise</v>
      </c>
      <c r="K149" s="343" t="str">
        <f ca="1">OFFSET(Sprachen!A507,0,'START, DÉBUT, INIZIO'!$D$4-1,1,1)</f>
        <v>Erlös Winterreserve</v>
      </c>
      <c r="L149" s="344" t="str">
        <f ca="1">OFFSET(Sprachen!A508,0,'START, DÉBUT, INIZIO'!$D$4-1,1,1)</f>
        <v>Erlös Total</v>
      </c>
      <c r="M149" s="345"/>
    </row>
    <row r="150" spans="1:18" ht="13.5" thickBot="1" x14ac:dyDescent="0.25">
      <c r="D150" s="271"/>
      <c r="E150" s="275" t="s">
        <v>9</v>
      </c>
      <c r="F150" s="275" t="s">
        <v>10</v>
      </c>
      <c r="G150" s="275" t="s">
        <v>8</v>
      </c>
      <c r="H150" s="275" t="s">
        <v>8</v>
      </c>
      <c r="I150" s="275" t="s">
        <v>8</v>
      </c>
      <c r="J150" s="275" t="s">
        <v>8</v>
      </c>
      <c r="K150" s="275" t="s">
        <v>8</v>
      </c>
      <c r="L150" s="419" t="s">
        <v>8</v>
      </c>
    </row>
    <row r="151" spans="1:18" x14ac:dyDescent="0.2">
      <c r="C151" s="306">
        <v>1</v>
      </c>
      <c r="D151" s="3" t="str">
        <f t="shared" ref="D151:D162" si="21">D54</f>
        <v>10. 2024</v>
      </c>
      <c r="E151" s="333">
        <f>'2 Techn. Angaben &amp; Produktion'!AB40</f>
        <v>0</v>
      </c>
      <c r="F151" s="313">
        <f t="shared" ref="F151:F162" si="22">T99</f>
        <v>0</v>
      </c>
      <c r="G151" s="321">
        <f t="shared" ref="G151:G162" si="23">E151*F151</f>
        <v>0</v>
      </c>
      <c r="H151" s="321" t="e">
        <f t="shared" ref="H151:K162" si="24">$E151/$E$163*H$163</f>
        <v>#DIV/0!</v>
      </c>
      <c r="I151" s="321" t="e">
        <f t="shared" ca="1" si="24"/>
        <v>#DIV/0!</v>
      </c>
      <c r="J151" s="321" t="e">
        <f t="shared" si="24"/>
        <v>#DIV/0!</v>
      </c>
      <c r="K151" s="321" t="e">
        <f t="shared" si="24"/>
        <v>#DIV/0!</v>
      </c>
      <c r="L151" s="334" t="e">
        <f t="shared" ref="L151:L162" si="25">SUM(G151:K151)</f>
        <v>#DIV/0!</v>
      </c>
    </row>
    <row r="152" spans="1:18" x14ac:dyDescent="0.2">
      <c r="C152" s="307">
        <f t="shared" ref="C152:C179" si="26">C151+1</f>
        <v>2</v>
      </c>
      <c r="D152" s="3" t="str">
        <f t="shared" si="21"/>
        <v>11. 2024</v>
      </c>
      <c r="E152" s="333">
        <f>'2 Techn. Angaben &amp; Produktion'!AB41</f>
        <v>0</v>
      </c>
      <c r="F152" s="313">
        <f t="shared" si="22"/>
        <v>0</v>
      </c>
      <c r="G152" s="336">
        <f t="shared" si="23"/>
        <v>0</v>
      </c>
      <c r="H152" s="245" t="e">
        <f t="shared" si="24"/>
        <v>#DIV/0!</v>
      </c>
      <c r="I152" s="245" t="e">
        <f t="shared" ca="1" si="24"/>
        <v>#DIV/0!</v>
      </c>
      <c r="J152" s="245" t="e">
        <f t="shared" si="24"/>
        <v>#DIV/0!</v>
      </c>
      <c r="K152" s="245" t="e">
        <f t="shared" si="24"/>
        <v>#DIV/0!</v>
      </c>
      <c r="L152" s="334" t="e">
        <f t="shared" si="25"/>
        <v>#DIV/0!</v>
      </c>
    </row>
    <row r="153" spans="1:18" ht="13.5" thickBot="1" x14ac:dyDescent="0.25">
      <c r="C153" s="307">
        <f t="shared" si="26"/>
        <v>3</v>
      </c>
      <c r="D153" s="337" t="str">
        <f t="shared" si="21"/>
        <v>12. 2024</v>
      </c>
      <c r="E153" s="338">
        <f>'2 Techn. Angaben &amp; Produktion'!AB42</f>
        <v>0</v>
      </c>
      <c r="F153" s="339">
        <f t="shared" si="22"/>
        <v>0</v>
      </c>
      <c r="G153" s="302">
        <f t="shared" si="23"/>
        <v>0</v>
      </c>
      <c r="H153" s="302" t="e">
        <f t="shared" si="24"/>
        <v>#DIV/0!</v>
      </c>
      <c r="I153" s="302" t="e">
        <f t="shared" ca="1" si="24"/>
        <v>#DIV/0!</v>
      </c>
      <c r="J153" s="302" t="e">
        <f t="shared" si="24"/>
        <v>#DIV/0!</v>
      </c>
      <c r="K153" s="302" t="e">
        <f t="shared" si="24"/>
        <v>#DIV/0!</v>
      </c>
      <c r="L153" s="340" t="e">
        <f t="shared" si="25"/>
        <v>#DIV/0!</v>
      </c>
    </row>
    <row r="154" spans="1:18" x14ac:dyDescent="0.2">
      <c r="C154" s="307">
        <f t="shared" si="26"/>
        <v>4</v>
      </c>
      <c r="D154" s="3" t="str">
        <f t="shared" si="21"/>
        <v>1. 2025</v>
      </c>
      <c r="E154" s="333">
        <f>'2 Techn. Angaben &amp; Produktion'!AB43</f>
        <v>0</v>
      </c>
      <c r="F154" s="313">
        <f t="shared" si="22"/>
        <v>0</v>
      </c>
      <c r="G154" s="321">
        <f t="shared" si="23"/>
        <v>0</v>
      </c>
      <c r="H154" s="321" t="e">
        <f t="shared" si="24"/>
        <v>#DIV/0!</v>
      </c>
      <c r="I154" s="321" t="e">
        <f t="shared" ca="1" si="24"/>
        <v>#DIV/0!</v>
      </c>
      <c r="J154" s="321" t="e">
        <f t="shared" si="24"/>
        <v>#DIV/0!</v>
      </c>
      <c r="K154" s="321" t="e">
        <f t="shared" si="24"/>
        <v>#DIV/0!</v>
      </c>
      <c r="L154" s="334" t="e">
        <f t="shared" si="25"/>
        <v>#DIV/0!</v>
      </c>
    </row>
    <row r="155" spans="1:18" x14ac:dyDescent="0.2">
      <c r="C155" s="307">
        <f t="shared" si="26"/>
        <v>5</v>
      </c>
      <c r="D155" s="3" t="str">
        <f t="shared" si="21"/>
        <v>2. 2025</v>
      </c>
      <c r="E155" s="333">
        <f>'2 Techn. Angaben &amp; Produktion'!AB44</f>
        <v>0</v>
      </c>
      <c r="F155" s="313">
        <f t="shared" si="22"/>
        <v>0</v>
      </c>
      <c r="G155" s="336">
        <f t="shared" si="23"/>
        <v>0</v>
      </c>
      <c r="H155" s="245" t="e">
        <f t="shared" si="24"/>
        <v>#DIV/0!</v>
      </c>
      <c r="I155" s="245" t="e">
        <f t="shared" ca="1" si="24"/>
        <v>#DIV/0!</v>
      </c>
      <c r="J155" s="245" t="e">
        <f t="shared" si="24"/>
        <v>#DIV/0!</v>
      </c>
      <c r="K155" s="245" t="e">
        <f t="shared" si="24"/>
        <v>#DIV/0!</v>
      </c>
      <c r="L155" s="334" t="e">
        <f t="shared" si="25"/>
        <v>#DIV/0!</v>
      </c>
    </row>
    <row r="156" spans="1:18" ht="13.5" thickBot="1" x14ac:dyDescent="0.25">
      <c r="C156" s="307">
        <f t="shared" si="26"/>
        <v>6</v>
      </c>
      <c r="D156" s="337" t="str">
        <f t="shared" si="21"/>
        <v>3. 2025</v>
      </c>
      <c r="E156" s="338">
        <f>'2 Techn. Angaben &amp; Produktion'!AB45</f>
        <v>0</v>
      </c>
      <c r="F156" s="339">
        <f t="shared" si="22"/>
        <v>0</v>
      </c>
      <c r="G156" s="302">
        <f t="shared" si="23"/>
        <v>0</v>
      </c>
      <c r="H156" s="302" t="e">
        <f t="shared" si="24"/>
        <v>#DIV/0!</v>
      </c>
      <c r="I156" s="302" t="e">
        <f t="shared" ca="1" si="24"/>
        <v>#DIV/0!</v>
      </c>
      <c r="J156" s="302" t="e">
        <f t="shared" si="24"/>
        <v>#DIV/0!</v>
      </c>
      <c r="K156" s="302" t="e">
        <f t="shared" si="24"/>
        <v>#DIV/0!</v>
      </c>
      <c r="L156" s="340" t="e">
        <f t="shared" si="25"/>
        <v>#DIV/0!</v>
      </c>
    </row>
    <row r="157" spans="1:18" x14ac:dyDescent="0.2">
      <c r="C157" s="307">
        <f t="shared" si="26"/>
        <v>7</v>
      </c>
      <c r="D157" s="3" t="str">
        <f t="shared" si="21"/>
        <v>4. 2025</v>
      </c>
      <c r="E157" s="333">
        <f>'2 Techn. Angaben &amp; Produktion'!AB46</f>
        <v>0</v>
      </c>
      <c r="F157" s="313">
        <f t="shared" si="22"/>
        <v>0</v>
      </c>
      <c r="G157" s="321">
        <f t="shared" si="23"/>
        <v>0</v>
      </c>
      <c r="H157" s="321" t="e">
        <f t="shared" si="24"/>
        <v>#DIV/0!</v>
      </c>
      <c r="I157" s="321" t="e">
        <f t="shared" ca="1" si="24"/>
        <v>#DIV/0!</v>
      </c>
      <c r="J157" s="321" t="e">
        <f t="shared" si="24"/>
        <v>#DIV/0!</v>
      </c>
      <c r="K157" s="321" t="e">
        <f t="shared" si="24"/>
        <v>#DIV/0!</v>
      </c>
      <c r="L157" s="334" t="e">
        <f t="shared" si="25"/>
        <v>#DIV/0!</v>
      </c>
    </row>
    <row r="158" spans="1:18" x14ac:dyDescent="0.2">
      <c r="C158" s="307">
        <f t="shared" si="26"/>
        <v>8</v>
      </c>
      <c r="D158" s="3" t="str">
        <f t="shared" si="21"/>
        <v>5. 2025</v>
      </c>
      <c r="E158" s="333">
        <f>'2 Techn. Angaben &amp; Produktion'!AB47</f>
        <v>0</v>
      </c>
      <c r="F158" s="313">
        <f t="shared" si="22"/>
        <v>0</v>
      </c>
      <c r="G158" s="336">
        <f t="shared" si="23"/>
        <v>0</v>
      </c>
      <c r="H158" s="245" t="e">
        <f t="shared" si="24"/>
        <v>#DIV/0!</v>
      </c>
      <c r="I158" s="245" t="e">
        <f t="shared" ca="1" si="24"/>
        <v>#DIV/0!</v>
      </c>
      <c r="J158" s="245" t="e">
        <f t="shared" si="24"/>
        <v>#DIV/0!</v>
      </c>
      <c r="K158" s="245" t="e">
        <f t="shared" si="24"/>
        <v>#DIV/0!</v>
      </c>
      <c r="L158" s="334" t="e">
        <f t="shared" si="25"/>
        <v>#DIV/0!</v>
      </c>
    </row>
    <row r="159" spans="1:18" ht="13.5" thickBot="1" x14ac:dyDescent="0.25">
      <c r="C159" s="307">
        <f t="shared" si="26"/>
        <v>9</v>
      </c>
      <c r="D159" s="337" t="str">
        <f t="shared" si="21"/>
        <v>6. 2025</v>
      </c>
      <c r="E159" s="338">
        <f>'2 Techn. Angaben &amp; Produktion'!AB48</f>
        <v>0</v>
      </c>
      <c r="F159" s="339">
        <f t="shared" si="22"/>
        <v>0</v>
      </c>
      <c r="G159" s="302">
        <f t="shared" si="23"/>
        <v>0</v>
      </c>
      <c r="H159" s="302" t="e">
        <f t="shared" si="24"/>
        <v>#DIV/0!</v>
      </c>
      <c r="I159" s="302" t="e">
        <f t="shared" ca="1" si="24"/>
        <v>#DIV/0!</v>
      </c>
      <c r="J159" s="302" t="e">
        <f t="shared" si="24"/>
        <v>#DIV/0!</v>
      </c>
      <c r="K159" s="302" t="e">
        <f t="shared" si="24"/>
        <v>#DIV/0!</v>
      </c>
      <c r="L159" s="340" t="e">
        <f t="shared" si="25"/>
        <v>#DIV/0!</v>
      </c>
    </row>
    <row r="160" spans="1:18" x14ac:dyDescent="0.2">
      <c r="C160" s="307">
        <f t="shared" si="26"/>
        <v>10</v>
      </c>
      <c r="D160" s="3" t="str">
        <f t="shared" si="21"/>
        <v>7. 2025</v>
      </c>
      <c r="E160" s="333">
        <f>'2 Techn. Angaben &amp; Produktion'!AB49</f>
        <v>0</v>
      </c>
      <c r="F160" s="313">
        <f t="shared" si="22"/>
        <v>0</v>
      </c>
      <c r="G160" s="321">
        <f t="shared" si="23"/>
        <v>0</v>
      </c>
      <c r="H160" s="321" t="e">
        <f t="shared" si="24"/>
        <v>#DIV/0!</v>
      </c>
      <c r="I160" s="321" t="e">
        <f t="shared" ca="1" si="24"/>
        <v>#DIV/0!</v>
      </c>
      <c r="J160" s="321" t="e">
        <f t="shared" si="24"/>
        <v>#DIV/0!</v>
      </c>
      <c r="K160" s="321" t="e">
        <f t="shared" si="24"/>
        <v>#DIV/0!</v>
      </c>
      <c r="L160" s="334" t="e">
        <f t="shared" si="25"/>
        <v>#DIV/0!</v>
      </c>
    </row>
    <row r="161" spans="2:17" x14ac:dyDescent="0.2">
      <c r="C161" s="307">
        <f t="shared" si="26"/>
        <v>11</v>
      </c>
      <c r="D161" s="3" t="str">
        <f t="shared" si="21"/>
        <v>8. 2025</v>
      </c>
      <c r="E161" s="333">
        <f>'2 Techn. Angaben &amp; Produktion'!AB50</f>
        <v>0</v>
      </c>
      <c r="F161" s="313">
        <f t="shared" si="22"/>
        <v>0</v>
      </c>
      <c r="G161" s="336">
        <f t="shared" si="23"/>
        <v>0</v>
      </c>
      <c r="H161" s="245" t="e">
        <f t="shared" si="24"/>
        <v>#DIV/0!</v>
      </c>
      <c r="I161" s="245" t="e">
        <f t="shared" ca="1" si="24"/>
        <v>#DIV/0!</v>
      </c>
      <c r="J161" s="245" t="e">
        <f t="shared" si="24"/>
        <v>#DIV/0!</v>
      </c>
      <c r="K161" s="245" t="e">
        <f t="shared" si="24"/>
        <v>#DIV/0!</v>
      </c>
      <c r="L161" s="334" t="e">
        <f t="shared" si="25"/>
        <v>#DIV/0!</v>
      </c>
    </row>
    <row r="162" spans="2:17" ht="13.5" thickBot="1" x14ac:dyDescent="0.25">
      <c r="C162" s="307">
        <f t="shared" si="26"/>
        <v>12</v>
      </c>
      <c r="D162" s="337" t="str">
        <f t="shared" si="21"/>
        <v>9. 2025</v>
      </c>
      <c r="E162" s="338">
        <f>'2 Techn. Angaben &amp; Produktion'!AB51</f>
        <v>0</v>
      </c>
      <c r="F162" s="339">
        <f t="shared" si="22"/>
        <v>0</v>
      </c>
      <c r="G162" s="302">
        <f t="shared" si="23"/>
        <v>0</v>
      </c>
      <c r="H162" s="302" t="e">
        <f t="shared" si="24"/>
        <v>#DIV/0!</v>
      </c>
      <c r="I162" s="302" t="e">
        <f t="shared" ca="1" si="24"/>
        <v>#DIV/0!</v>
      </c>
      <c r="J162" s="302" t="e">
        <f t="shared" si="24"/>
        <v>#DIV/0!</v>
      </c>
      <c r="K162" s="302" t="e">
        <f t="shared" si="24"/>
        <v>#DIV/0!</v>
      </c>
      <c r="L162" s="340" t="e">
        <f t="shared" si="25"/>
        <v>#DIV/0!</v>
      </c>
    </row>
    <row r="163" spans="2:17" x14ac:dyDescent="0.2">
      <c r="C163" s="307">
        <f t="shared" si="26"/>
        <v>13</v>
      </c>
      <c r="E163" s="273">
        <f>SUM(E151:E162)</f>
        <v>0</v>
      </c>
      <c r="G163" s="6">
        <f>SUM(G151:G162)</f>
        <v>0</v>
      </c>
      <c r="H163" s="6">
        <f>$H$128</f>
        <v>0</v>
      </c>
      <c r="I163" s="6">
        <f ca="1">$E$134</f>
        <v>0</v>
      </c>
      <c r="J163" s="6" t="e">
        <f>$E$139</f>
        <v>#DIV/0!</v>
      </c>
      <c r="K163" s="6">
        <f>$E$146</f>
        <v>0</v>
      </c>
      <c r="L163" s="334" t="e">
        <f>SUM(L151:L162)</f>
        <v>#DIV/0!</v>
      </c>
    </row>
    <row r="164" spans="2:17" x14ac:dyDescent="0.2">
      <c r="C164" s="307">
        <f t="shared" si="26"/>
        <v>14</v>
      </c>
    </row>
    <row r="165" spans="2:17" ht="139.5" x14ac:dyDescent="0.2">
      <c r="B165" s="330" t="str">
        <f ca="1">OFFSET(Sprachen!A509,0,'START, DÉBUT, INIZIO'!$D$4-1,1,1)</f>
        <v>Die jeweiligen Jahreskosten werden proportional zur Mehrproduktion auf die Monate verteilt</v>
      </c>
      <c r="C165" s="307">
        <f t="shared" si="26"/>
        <v>15</v>
      </c>
      <c r="E165" s="343" t="str">
        <f ca="1">OFFSET(Sprachen!$A510,0,'START, DÉBUT, INIZIO'!$D$4-1,1,1)</f>
        <v>Kapitalkosten (Annuität ohne MwSt.)</v>
      </c>
      <c r="F165" s="343" t="str">
        <f ca="1">OFFSET(Sprachen!$A511,0,'START, DÉBUT, INIZIO'!$D$4-1,1,1)</f>
        <v>Betriebskosten (ohne MwSt.)</v>
      </c>
      <c r="G165" s="349" t="str">
        <f ca="1">OFFSET(Sprachen!$A512,0,'START, DÉBUT, INIZIO'!$D$4-1,1,1)</f>
        <v>Energiebewirtschaftungs- und -verwertungskosten</v>
      </c>
      <c r="H165" s="343" t="str">
        <f ca="1">OFFSET(Sprachen!$A513,0,'START, DÉBUT, INIZIO'!$D$4-1,1,1)</f>
        <v>Abgaben und Leistungen an das Gemeinwesen</v>
      </c>
      <c r="I165" s="343" t="str">
        <f ca="1">OFFSET(Sprachen!$A514,0,'START, DÉBUT, INIZIO'!$D$4-1,1,1)</f>
        <v>Kosten für die Elektrizität für Zubringerpumpen</v>
      </c>
      <c r="J165" s="343" t="str">
        <f ca="1">OFFSET(Sprachen!$A515,0,'START, DÉBUT, INIZIO'!$D$4-1,1,1)</f>
        <v>Kosten für die Elektrizität für Umwälzpumpen</v>
      </c>
      <c r="K165" s="343" t="str">
        <f ca="1">OFFSET(Sprachen!$A516,0,'START, DÉBUT, INIZIO'!$D$4-1,1,1)</f>
        <v>Kosten Steuern EK</v>
      </c>
      <c r="L165" s="344" t="str">
        <f ca="1">OFFSET(Sprachen!$A517,0,'START, DÉBUT, INIZIO'!$D$4-1,1,1)</f>
        <v>Kosten Total</v>
      </c>
      <c r="O165" s="332" t="str">
        <f ca="1">OFFSET(Sprachen!$A518,0,'START, DÉBUT, INIZIO'!$D$4-1,1,1)</f>
        <v>gMP Total Erlöse - Total Kosten</v>
      </c>
      <c r="P165" s="332" t="str">
        <f ca="1">OFFSET(Sprachen!$A519,0,'START, DÉBUT, INIZIO'!$D$4-1,1,1)</f>
        <v>Übersteigender Teil</v>
      </c>
      <c r="Q165" s="332" t="str">
        <f ca="1">OFFSET(Sprachen!$A520,0,'START, DÉBUT, INIZIO'!$D$4-1,1,1)</f>
        <v>Übersteigender Teil. Anteil, welcher beim Projekt bleibt</v>
      </c>
    </row>
    <row r="166" spans="2:17" ht="13.5" thickBot="1" x14ac:dyDescent="0.25">
      <c r="C166" s="307">
        <f t="shared" si="26"/>
        <v>16</v>
      </c>
      <c r="D166" s="271"/>
      <c r="E166" s="275" t="s">
        <v>8</v>
      </c>
      <c r="F166" s="275" t="s">
        <v>8</v>
      </c>
      <c r="G166" s="275" t="s">
        <v>8</v>
      </c>
      <c r="H166" s="275" t="s">
        <v>8</v>
      </c>
      <c r="I166" s="275" t="s">
        <v>8</v>
      </c>
      <c r="J166" s="275" t="s">
        <v>8</v>
      </c>
      <c r="K166" s="275" t="s">
        <v>8</v>
      </c>
      <c r="L166" s="419" t="s">
        <v>8</v>
      </c>
      <c r="N166" s="271"/>
      <c r="O166" s="275" t="s">
        <v>8</v>
      </c>
      <c r="P166" s="275" t="s">
        <v>8</v>
      </c>
      <c r="Q166" s="275" t="s">
        <v>8</v>
      </c>
    </row>
    <row r="167" spans="2:17" x14ac:dyDescent="0.2">
      <c r="C167" s="307">
        <f t="shared" si="26"/>
        <v>17</v>
      </c>
      <c r="D167" s="3" t="str">
        <f t="shared" ref="D167:D178" si="27">D151</f>
        <v>10. 2024</v>
      </c>
      <c r="E167" s="321" t="e">
        <f t="shared" ref="E167:K178" si="28">$E151/$E$163*E$179</f>
        <v>#DIV/0!</v>
      </c>
      <c r="F167" s="321" t="e">
        <f t="shared" si="28"/>
        <v>#DIV/0!</v>
      </c>
      <c r="G167" s="321" t="e">
        <f t="shared" ca="1" si="28"/>
        <v>#DIV/0!</v>
      </c>
      <c r="H167" s="321" t="e">
        <f t="shared" si="28"/>
        <v>#DIV/0!</v>
      </c>
      <c r="I167" s="321" t="e">
        <f t="shared" si="28"/>
        <v>#DIV/0!</v>
      </c>
      <c r="J167" s="321" t="e">
        <f t="shared" si="28"/>
        <v>#DIV/0!</v>
      </c>
      <c r="K167" s="321" t="e">
        <f t="shared" si="28"/>
        <v>#DIV/0!</v>
      </c>
      <c r="L167" s="335" t="e">
        <f t="shared" ref="L167:L179" si="29">SUM(E167:K167)</f>
        <v>#DIV/0!</v>
      </c>
      <c r="N167" s="6" t="str">
        <f t="shared" ref="N167:N178" si="30">D151</f>
        <v>10. 2024</v>
      </c>
      <c r="O167" s="6" t="e">
        <f t="shared" ref="O167:O178" si="31">L151-L167</f>
        <v>#DIV/0!</v>
      </c>
      <c r="P167" s="6"/>
    </row>
    <row r="168" spans="2:17" x14ac:dyDescent="0.2">
      <c r="C168" s="307">
        <f t="shared" si="26"/>
        <v>18</v>
      </c>
      <c r="D168" s="3" t="str">
        <f t="shared" si="27"/>
        <v>11. 2024</v>
      </c>
      <c r="E168" s="245" t="e">
        <f t="shared" si="28"/>
        <v>#DIV/0!</v>
      </c>
      <c r="F168" s="245" t="e">
        <f t="shared" si="28"/>
        <v>#DIV/0!</v>
      </c>
      <c r="G168" s="245" t="e">
        <f t="shared" ca="1" si="28"/>
        <v>#DIV/0!</v>
      </c>
      <c r="H168" s="245" t="e">
        <f t="shared" si="28"/>
        <v>#DIV/0!</v>
      </c>
      <c r="I168" s="245" t="e">
        <f t="shared" si="28"/>
        <v>#DIV/0!</v>
      </c>
      <c r="J168" s="245" t="e">
        <f t="shared" si="28"/>
        <v>#DIV/0!</v>
      </c>
      <c r="K168" s="245" t="e">
        <f t="shared" si="28"/>
        <v>#DIV/0!</v>
      </c>
      <c r="L168" s="335" t="e">
        <f t="shared" si="29"/>
        <v>#DIV/0!</v>
      </c>
      <c r="N168" s="6" t="str">
        <f t="shared" si="30"/>
        <v>11. 2024</v>
      </c>
      <c r="O168" s="6" t="e">
        <f t="shared" si="31"/>
        <v>#DIV/0!</v>
      </c>
      <c r="P168" s="6"/>
    </row>
    <row r="169" spans="2:17" ht="13.5" thickBot="1" x14ac:dyDescent="0.25">
      <c r="C169" s="307">
        <f t="shared" si="26"/>
        <v>19</v>
      </c>
      <c r="D169" s="337" t="str">
        <f t="shared" si="27"/>
        <v>12. 2024</v>
      </c>
      <c r="E169" s="302" t="e">
        <f t="shared" si="28"/>
        <v>#DIV/0!</v>
      </c>
      <c r="F169" s="302" t="e">
        <f t="shared" si="28"/>
        <v>#DIV/0!</v>
      </c>
      <c r="G169" s="302" t="e">
        <f t="shared" ca="1" si="28"/>
        <v>#DIV/0!</v>
      </c>
      <c r="H169" s="302" t="e">
        <f t="shared" si="28"/>
        <v>#DIV/0!</v>
      </c>
      <c r="I169" s="302" t="e">
        <f t="shared" si="28"/>
        <v>#DIV/0!</v>
      </c>
      <c r="J169" s="302" t="e">
        <f t="shared" si="28"/>
        <v>#DIV/0!</v>
      </c>
      <c r="K169" s="302" t="e">
        <f t="shared" si="28"/>
        <v>#DIV/0!</v>
      </c>
      <c r="L169" s="341" t="e">
        <f t="shared" si="29"/>
        <v>#DIV/0!</v>
      </c>
      <c r="N169" s="340" t="str">
        <f t="shared" si="30"/>
        <v>12. 2024</v>
      </c>
      <c r="O169" s="340" t="e">
        <f t="shared" si="31"/>
        <v>#DIV/0!</v>
      </c>
      <c r="P169" s="340" t="e">
        <f>IF(O169&gt;0,O169,0)</f>
        <v>#DIV/0!</v>
      </c>
      <c r="Q169" s="340" t="e">
        <f>P169*Vorgaben!$C$4</f>
        <v>#DIV/0!</v>
      </c>
    </row>
    <row r="170" spans="2:17" x14ac:dyDescent="0.2">
      <c r="C170" s="307">
        <f t="shared" si="26"/>
        <v>20</v>
      </c>
      <c r="D170" s="3" t="str">
        <f t="shared" si="27"/>
        <v>1. 2025</v>
      </c>
      <c r="E170" s="321" t="e">
        <f t="shared" si="28"/>
        <v>#DIV/0!</v>
      </c>
      <c r="F170" s="321" t="e">
        <f t="shared" si="28"/>
        <v>#DIV/0!</v>
      </c>
      <c r="G170" s="321" t="e">
        <f t="shared" ca="1" si="28"/>
        <v>#DIV/0!</v>
      </c>
      <c r="H170" s="321" t="e">
        <f t="shared" si="28"/>
        <v>#DIV/0!</v>
      </c>
      <c r="I170" s="321" t="e">
        <f t="shared" si="28"/>
        <v>#DIV/0!</v>
      </c>
      <c r="J170" s="321" t="e">
        <f t="shared" si="28"/>
        <v>#DIV/0!</v>
      </c>
      <c r="K170" s="321" t="e">
        <f t="shared" si="28"/>
        <v>#DIV/0!</v>
      </c>
      <c r="L170" s="335" t="e">
        <f t="shared" si="29"/>
        <v>#DIV/0!</v>
      </c>
      <c r="N170" s="334" t="str">
        <f t="shared" si="30"/>
        <v>1. 2025</v>
      </c>
      <c r="O170" s="334" t="e">
        <f t="shared" si="31"/>
        <v>#DIV/0!</v>
      </c>
      <c r="P170" s="334" t="e">
        <f>IF(O170&gt;0,O170,0)</f>
        <v>#DIV/0!</v>
      </c>
      <c r="Q170" s="334" t="e">
        <f>P170*Vorgaben!$C$4</f>
        <v>#DIV/0!</v>
      </c>
    </row>
    <row r="171" spans="2:17" x14ac:dyDescent="0.2">
      <c r="C171" s="307">
        <f t="shared" si="26"/>
        <v>21</v>
      </c>
      <c r="D171" s="3" t="str">
        <f t="shared" si="27"/>
        <v>2. 2025</v>
      </c>
      <c r="E171" s="245" t="e">
        <f t="shared" si="28"/>
        <v>#DIV/0!</v>
      </c>
      <c r="F171" s="245" t="e">
        <f t="shared" si="28"/>
        <v>#DIV/0!</v>
      </c>
      <c r="G171" s="245" t="e">
        <f t="shared" ca="1" si="28"/>
        <v>#DIV/0!</v>
      </c>
      <c r="H171" s="245" t="e">
        <f t="shared" si="28"/>
        <v>#DIV/0!</v>
      </c>
      <c r="I171" s="245" t="e">
        <f t="shared" si="28"/>
        <v>#DIV/0!</v>
      </c>
      <c r="J171" s="245" t="e">
        <f t="shared" si="28"/>
        <v>#DIV/0!</v>
      </c>
      <c r="K171" s="245" t="e">
        <f t="shared" si="28"/>
        <v>#DIV/0!</v>
      </c>
      <c r="L171" s="335" t="e">
        <f t="shared" si="29"/>
        <v>#DIV/0!</v>
      </c>
      <c r="N171" s="334" t="str">
        <f t="shared" si="30"/>
        <v>2. 2025</v>
      </c>
      <c r="O171" s="334" t="e">
        <f t="shared" si="31"/>
        <v>#DIV/0!</v>
      </c>
      <c r="P171" s="334" t="e">
        <f>IF(O171&gt;0,O171,0)</f>
        <v>#DIV/0!</v>
      </c>
      <c r="Q171" s="334" t="e">
        <f>P171*Vorgaben!$C$4</f>
        <v>#DIV/0!</v>
      </c>
    </row>
    <row r="172" spans="2:17" ht="13.5" thickBot="1" x14ac:dyDescent="0.25">
      <c r="C172" s="307">
        <f t="shared" si="26"/>
        <v>22</v>
      </c>
      <c r="D172" s="337" t="str">
        <f t="shared" si="27"/>
        <v>3. 2025</v>
      </c>
      <c r="E172" s="302" t="e">
        <f t="shared" si="28"/>
        <v>#DIV/0!</v>
      </c>
      <c r="F172" s="302" t="e">
        <f t="shared" si="28"/>
        <v>#DIV/0!</v>
      </c>
      <c r="G172" s="302" t="e">
        <f t="shared" ca="1" si="28"/>
        <v>#DIV/0!</v>
      </c>
      <c r="H172" s="302" t="e">
        <f t="shared" si="28"/>
        <v>#DIV/0!</v>
      </c>
      <c r="I172" s="302" t="e">
        <f t="shared" si="28"/>
        <v>#DIV/0!</v>
      </c>
      <c r="J172" s="302" t="e">
        <f t="shared" si="28"/>
        <v>#DIV/0!</v>
      </c>
      <c r="K172" s="302" t="e">
        <f t="shared" si="28"/>
        <v>#DIV/0!</v>
      </c>
      <c r="L172" s="341" t="e">
        <f t="shared" si="29"/>
        <v>#DIV/0!</v>
      </c>
      <c r="N172" s="340" t="str">
        <f t="shared" si="30"/>
        <v>3. 2025</v>
      </c>
      <c r="O172" s="340" t="e">
        <f t="shared" si="31"/>
        <v>#DIV/0!</v>
      </c>
      <c r="P172" s="340" t="e">
        <f>IF(O172&gt;0,O172,0)</f>
        <v>#DIV/0!</v>
      </c>
      <c r="Q172" s="340" t="e">
        <f>P172*Vorgaben!$C$4</f>
        <v>#DIV/0!</v>
      </c>
    </row>
    <row r="173" spans="2:17" x14ac:dyDescent="0.2">
      <c r="C173" s="307">
        <f t="shared" si="26"/>
        <v>23</v>
      </c>
      <c r="D173" s="3" t="str">
        <f t="shared" si="27"/>
        <v>4. 2025</v>
      </c>
      <c r="E173" s="321" t="e">
        <f t="shared" si="28"/>
        <v>#DIV/0!</v>
      </c>
      <c r="F173" s="321" t="e">
        <f t="shared" si="28"/>
        <v>#DIV/0!</v>
      </c>
      <c r="G173" s="321" t="e">
        <f t="shared" ca="1" si="28"/>
        <v>#DIV/0!</v>
      </c>
      <c r="H173" s="321" t="e">
        <f t="shared" si="28"/>
        <v>#DIV/0!</v>
      </c>
      <c r="I173" s="321" t="e">
        <f t="shared" si="28"/>
        <v>#DIV/0!</v>
      </c>
      <c r="J173" s="321" t="e">
        <f t="shared" si="28"/>
        <v>#DIV/0!</v>
      </c>
      <c r="K173" s="321" t="e">
        <f t="shared" si="28"/>
        <v>#DIV/0!</v>
      </c>
      <c r="L173" s="335" t="e">
        <f t="shared" si="29"/>
        <v>#DIV/0!</v>
      </c>
      <c r="N173" s="6" t="str">
        <f t="shared" si="30"/>
        <v>4. 2025</v>
      </c>
      <c r="O173" s="6" t="e">
        <f t="shared" si="31"/>
        <v>#DIV/0!</v>
      </c>
      <c r="P173" s="6"/>
    </row>
    <row r="174" spans="2:17" x14ac:dyDescent="0.2">
      <c r="C174" s="307">
        <f t="shared" si="26"/>
        <v>24</v>
      </c>
      <c r="D174" s="3" t="str">
        <f t="shared" si="27"/>
        <v>5. 2025</v>
      </c>
      <c r="E174" s="245" t="e">
        <f t="shared" si="28"/>
        <v>#DIV/0!</v>
      </c>
      <c r="F174" s="245" t="e">
        <f t="shared" si="28"/>
        <v>#DIV/0!</v>
      </c>
      <c r="G174" s="245" t="e">
        <f t="shared" ca="1" si="28"/>
        <v>#DIV/0!</v>
      </c>
      <c r="H174" s="245" t="e">
        <f t="shared" si="28"/>
        <v>#DIV/0!</v>
      </c>
      <c r="I174" s="245" t="e">
        <f t="shared" si="28"/>
        <v>#DIV/0!</v>
      </c>
      <c r="J174" s="245" t="e">
        <f t="shared" si="28"/>
        <v>#DIV/0!</v>
      </c>
      <c r="K174" s="245" t="e">
        <f t="shared" si="28"/>
        <v>#DIV/0!</v>
      </c>
      <c r="L174" s="335" t="e">
        <f t="shared" si="29"/>
        <v>#DIV/0!</v>
      </c>
      <c r="N174" s="6" t="str">
        <f t="shared" si="30"/>
        <v>5. 2025</v>
      </c>
      <c r="O174" s="6" t="e">
        <f t="shared" si="31"/>
        <v>#DIV/0!</v>
      </c>
      <c r="P174" s="6"/>
    </row>
    <row r="175" spans="2:17" ht="13.5" thickBot="1" x14ac:dyDescent="0.25">
      <c r="C175" s="307">
        <f t="shared" si="26"/>
        <v>25</v>
      </c>
      <c r="D175" s="337" t="str">
        <f t="shared" si="27"/>
        <v>6. 2025</v>
      </c>
      <c r="E175" s="302" t="e">
        <f t="shared" si="28"/>
        <v>#DIV/0!</v>
      </c>
      <c r="F175" s="302" t="e">
        <f t="shared" si="28"/>
        <v>#DIV/0!</v>
      </c>
      <c r="G175" s="302" t="e">
        <f t="shared" ca="1" si="28"/>
        <v>#DIV/0!</v>
      </c>
      <c r="H175" s="302" t="e">
        <f t="shared" si="28"/>
        <v>#DIV/0!</v>
      </c>
      <c r="I175" s="302" t="e">
        <f t="shared" si="28"/>
        <v>#DIV/0!</v>
      </c>
      <c r="J175" s="302" t="e">
        <f t="shared" si="28"/>
        <v>#DIV/0!</v>
      </c>
      <c r="K175" s="302" t="e">
        <f t="shared" si="28"/>
        <v>#DIV/0!</v>
      </c>
      <c r="L175" s="341" t="e">
        <f t="shared" si="29"/>
        <v>#DIV/0!</v>
      </c>
      <c r="N175" s="342" t="str">
        <f t="shared" si="30"/>
        <v>6. 2025</v>
      </c>
      <c r="O175" s="342" t="e">
        <f t="shared" si="31"/>
        <v>#DIV/0!</v>
      </c>
      <c r="P175" s="6"/>
    </row>
    <row r="176" spans="2:17" x14ac:dyDescent="0.2">
      <c r="C176" s="307">
        <f t="shared" si="26"/>
        <v>26</v>
      </c>
      <c r="D176" s="3" t="str">
        <f t="shared" si="27"/>
        <v>7. 2025</v>
      </c>
      <c r="E176" s="321" t="e">
        <f t="shared" si="28"/>
        <v>#DIV/0!</v>
      </c>
      <c r="F176" s="321" t="e">
        <f t="shared" si="28"/>
        <v>#DIV/0!</v>
      </c>
      <c r="G176" s="321" t="e">
        <f t="shared" ca="1" si="28"/>
        <v>#DIV/0!</v>
      </c>
      <c r="H176" s="321" t="e">
        <f t="shared" si="28"/>
        <v>#DIV/0!</v>
      </c>
      <c r="I176" s="321" t="e">
        <f t="shared" si="28"/>
        <v>#DIV/0!</v>
      </c>
      <c r="J176" s="321" t="e">
        <f t="shared" si="28"/>
        <v>#DIV/0!</v>
      </c>
      <c r="K176" s="321" t="e">
        <f t="shared" si="28"/>
        <v>#DIV/0!</v>
      </c>
      <c r="L176" s="335" t="e">
        <f t="shared" si="29"/>
        <v>#DIV/0!</v>
      </c>
      <c r="N176" s="6" t="str">
        <f t="shared" si="30"/>
        <v>7. 2025</v>
      </c>
      <c r="O176" s="6" t="e">
        <f t="shared" si="31"/>
        <v>#DIV/0!</v>
      </c>
      <c r="P176" s="6"/>
    </row>
    <row r="177" spans="1:17" x14ac:dyDescent="0.2">
      <c r="C177" s="307">
        <f t="shared" si="26"/>
        <v>27</v>
      </c>
      <c r="D177" s="3" t="str">
        <f t="shared" si="27"/>
        <v>8. 2025</v>
      </c>
      <c r="E177" s="245" t="e">
        <f t="shared" si="28"/>
        <v>#DIV/0!</v>
      </c>
      <c r="F177" s="245" t="e">
        <f t="shared" si="28"/>
        <v>#DIV/0!</v>
      </c>
      <c r="G177" s="245" t="e">
        <f t="shared" ca="1" si="28"/>
        <v>#DIV/0!</v>
      </c>
      <c r="H177" s="245" t="e">
        <f t="shared" si="28"/>
        <v>#DIV/0!</v>
      </c>
      <c r="I177" s="245" t="e">
        <f t="shared" si="28"/>
        <v>#DIV/0!</v>
      </c>
      <c r="J177" s="245" t="e">
        <f t="shared" si="28"/>
        <v>#DIV/0!</v>
      </c>
      <c r="K177" s="245" t="e">
        <f t="shared" si="28"/>
        <v>#DIV/0!</v>
      </c>
      <c r="L177" s="335" t="e">
        <f t="shared" si="29"/>
        <v>#DIV/0!</v>
      </c>
      <c r="N177" s="6" t="str">
        <f t="shared" si="30"/>
        <v>8. 2025</v>
      </c>
      <c r="O177" s="6" t="e">
        <f t="shared" si="31"/>
        <v>#DIV/0!</v>
      </c>
      <c r="P177" s="6"/>
    </row>
    <row r="178" spans="1:17" ht="13.5" thickBot="1" x14ac:dyDescent="0.25">
      <c r="C178" s="307">
        <f t="shared" si="26"/>
        <v>28</v>
      </c>
      <c r="D178" s="337" t="str">
        <f t="shared" si="27"/>
        <v>9. 2025</v>
      </c>
      <c r="E178" s="302" t="e">
        <f t="shared" si="28"/>
        <v>#DIV/0!</v>
      </c>
      <c r="F178" s="302" t="e">
        <f t="shared" si="28"/>
        <v>#DIV/0!</v>
      </c>
      <c r="G178" s="302" t="e">
        <f t="shared" ca="1" si="28"/>
        <v>#DIV/0!</v>
      </c>
      <c r="H178" s="302" t="e">
        <f t="shared" si="28"/>
        <v>#DIV/0!</v>
      </c>
      <c r="I178" s="302" t="e">
        <f t="shared" si="28"/>
        <v>#DIV/0!</v>
      </c>
      <c r="J178" s="302" t="e">
        <f t="shared" si="28"/>
        <v>#DIV/0!</v>
      </c>
      <c r="K178" s="302" t="e">
        <f t="shared" si="28"/>
        <v>#DIV/0!</v>
      </c>
      <c r="L178" s="341" t="e">
        <f t="shared" si="29"/>
        <v>#DIV/0!</v>
      </c>
      <c r="N178" s="342" t="str">
        <f t="shared" si="30"/>
        <v>9. 2025</v>
      </c>
      <c r="O178" s="342" t="e">
        <f t="shared" si="31"/>
        <v>#DIV/0!</v>
      </c>
      <c r="P178" s="342"/>
    </row>
    <row r="179" spans="1:17" x14ac:dyDescent="0.2">
      <c r="C179" s="307">
        <f t="shared" si="26"/>
        <v>29</v>
      </c>
      <c r="E179" s="6">
        <f>$D$6</f>
        <v>0</v>
      </c>
      <c r="F179" s="6">
        <f>$D$17</f>
        <v>0</v>
      </c>
      <c r="G179" s="6">
        <f ca="1">$D$23</f>
        <v>0</v>
      </c>
      <c r="H179" s="6">
        <f>$D$32</f>
        <v>0</v>
      </c>
      <c r="I179" s="6">
        <f>$K$49</f>
        <v>0</v>
      </c>
      <c r="J179" s="6">
        <f>$K$66</f>
        <v>0</v>
      </c>
      <c r="K179" s="6">
        <f>$E$74</f>
        <v>0</v>
      </c>
      <c r="L179" s="334">
        <f t="shared" ca="1" si="29"/>
        <v>0</v>
      </c>
      <c r="O179" s="6" t="e">
        <f>SUM(O167:O178)</f>
        <v>#DIV/0!</v>
      </c>
      <c r="P179" s="6" t="e">
        <f>SUM(P169:P172)</f>
        <v>#DIV/0!</v>
      </c>
      <c r="Q179" s="353" t="e">
        <f>SUM(Q169:Q172)</f>
        <v>#DIV/0!</v>
      </c>
    </row>
    <row r="180" spans="1:17" ht="18.95" customHeight="1" x14ac:dyDescent="0.2">
      <c r="P180" s="14" t="str">
        <f ca="1">OFFSET(Sprachen!A521,0,'START, DÉBUT, INIZIO'!$D$4-1,1,1)</f>
        <v>Noch vom Projekt zu bezahlende Gewinn-Steuern auf übersteigendem Anteil</v>
      </c>
      <c r="Q180" s="6" t="e">
        <f>Q179*Vorgaben!$C$7</f>
        <v>#DIV/0!</v>
      </c>
    </row>
    <row r="181" spans="1:17" ht="13.5" thickBot="1" x14ac:dyDescent="0.25">
      <c r="A181" s="271"/>
      <c r="B181" s="271"/>
      <c r="C181" s="271"/>
      <c r="D181" s="271"/>
      <c r="E181" s="271"/>
      <c r="F181" s="271"/>
      <c r="G181" s="271"/>
      <c r="H181" s="271"/>
      <c r="I181" s="271"/>
      <c r="J181" s="271"/>
      <c r="K181" s="271"/>
      <c r="L181" s="271"/>
      <c r="M181" s="271"/>
      <c r="N181" s="271"/>
      <c r="O181" s="271"/>
      <c r="P181" s="271"/>
      <c r="Q181" s="271"/>
    </row>
    <row r="182" spans="1:17" ht="26.1" customHeight="1" x14ac:dyDescent="0.2">
      <c r="A182" s="368" t="str">
        <f ca="1">OFFSET(Sprachen!A522,0,'START, DÉBUT, INIZIO'!$D$4-1,1,1)</f>
        <v>Gleitende Marktprämie</v>
      </c>
      <c r="B182" s="1"/>
      <c r="C182" s="1"/>
      <c r="D182" s="3"/>
      <c r="E182" s="900"/>
      <c r="F182" s="900"/>
      <c r="G182" s="900"/>
      <c r="H182" s="900"/>
      <c r="I182" s="900"/>
    </row>
    <row r="183" spans="1:17" ht="19.5" customHeight="1" x14ac:dyDescent="0.2">
      <c r="A183" s="354"/>
      <c r="B183" s="1" t="str">
        <f ca="1">OFFSET(Sprachen!A523,0,'START, DÉBUT, INIZIO'!$D$4-1,1,1)</f>
        <v>Gewinn- und Verlustrechnung</v>
      </c>
      <c r="C183" s="259"/>
      <c r="D183" s="3" t="s">
        <v>8</v>
      </c>
      <c r="E183" s="3" t="s">
        <v>8</v>
      </c>
      <c r="F183" s="259"/>
      <c r="G183" s="259"/>
      <c r="H183" s="259"/>
      <c r="I183" s="259"/>
    </row>
    <row r="184" spans="1:17" ht="19.5" customHeight="1" x14ac:dyDescent="0.2">
      <c r="A184" s="354"/>
      <c r="B184" s="12" t="str">
        <f ca="1">OFFSET(Sprachen!A524,0,'START, DÉBUT, INIZIO'!$D$4-1,1,1)</f>
        <v>Ertrag</v>
      </c>
      <c r="C184" s="370">
        <v>1</v>
      </c>
      <c r="D184" s="15"/>
      <c r="E184" s="355" t="e">
        <f ca="1">SUM(D185:D189)</f>
        <v>#DIV/0!</v>
      </c>
      <c r="F184" s="259"/>
      <c r="G184" s="259"/>
      <c r="H184" s="259"/>
      <c r="I184" s="259"/>
    </row>
    <row r="185" spans="1:17" x14ac:dyDescent="0.2">
      <c r="B185" s="14" t="str">
        <f ca="1">OFFSET(Sprachen!A525,0,'START, DÉBUT, INIZIO'!$D$4-1,1,1)</f>
        <v>Day-Ahead-Verkauf</v>
      </c>
      <c r="C185" s="307">
        <f t="shared" ref="C185:C206" si="32">C184+1</f>
        <v>2</v>
      </c>
      <c r="D185" s="6">
        <f>G163</f>
        <v>0</v>
      </c>
    </row>
    <row r="186" spans="1:17" x14ac:dyDescent="0.2">
      <c r="B186" s="14" t="str">
        <f ca="1">OFFSET(Sprachen!A527,0,'START, DÉBUT, INIZIO'!$D$4-1,1,1)</f>
        <v>Terminmarktabsicherung</v>
      </c>
      <c r="C186" s="307">
        <f t="shared" si="32"/>
        <v>3</v>
      </c>
      <c r="D186" s="6">
        <f>H163</f>
        <v>0</v>
      </c>
    </row>
    <row r="187" spans="1:17" x14ac:dyDescent="0.2">
      <c r="B187" s="14" t="str">
        <f ca="1">OFFSET(Sprachen!A528,0,'START, DÉBUT, INIZIO'!$D$4-1,1,1)</f>
        <v>Systemdienstleistungsmarkt</v>
      </c>
      <c r="C187" s="307">
        <f t="shared" si="32"/>
        <v>4</v>
      </c>
      <c r="D187" s="6">
        <f ca="1">I163</f>
        <v>0</v>
      </c>
    </row>
    <row r="188" spans="1:17" x14ac:dyDescent="0.2">
      <c r="B188" s="14" t="str">
        <f ca="1">OFFSET(Sprachen!A529,0,'START, DÉBUT, INIZIO'!$D$4-1,1,1)</f>
        <v>Herkunftsnachweise</v>
      </c>
      <c r="C188" s="307">
        <f t="shared" si="32"/>
        <v>5</v>
      </c>
      <c r="D188" s="6" t="e">
        <f>J163</f>
        <v>#DIV/0!</v>
      </c>
    </row>
    <row r="189" spans="1:17" x14ac:dyDescent="0.2">
      <c r="B189" s="14" t="str">
        <f ca="1">OFFSET(Sprachen!A530,0,'START, DÉBUT, INIZIO'!$D$4-1,1,1)</f>
        <v>Winterreserve</v>
      </c>
      <c r="C189" s="307">
        <f t="shared" si="32"/>
        <v>6</v>
      </c>
      <c r="D189" s="6">
        <f>K163</f>
        <v>0</v>
      </c>
    </row>
    <row r="190" spans="1:17" s="10" customFormat="1" ht="17.45" customHeight="1" x14ac:dyDescent="0.2">
      <c r="B190" s="368" t="str">
        <f ca="1">OFFSET(Sprachen!A531,0,'START, DÉBUT, INIZIO'!$D$4-1,1,1)</f>
        <v>Aufwand</v>
      </c>
      <c r="C190" s="370">
        <f t="shared" si="32"/>
        <v>7</v>
      </c>
      <c r="D190" s="280"/>
      <c r="E190" s="355">
        <f ca="1">SUM(D191:D195)</f>
        <v>0</v>
      </c>
    </row>
    <row r="191" spans="1:17" x14ac:dyDescent="0.2">
      <c r="B191" s="14" t="str">
        <f ca="1">OFFSET(Sprachen!A532,0,'START, DÉBUT, INIZIO'!$D$4-1,1,1)</f>
        <v>Kosten für die Elektrizität für Zubringerpumpen</v>
      </c>
      <c r="C191" s="307">
        <f t="shared" si="32"/>
        <v>8</v>
      </c>
      <c r="D191" s="6">
        <f>I179</f>
        <v>0</v>
      </c>
      <c r="E191" s="6"/>
    </row>
    <row r="192" spans="1:17" x14ac:dyDescent="0.2">
      <c r="B192" s="14" t="str">
        <f ca="1">OFFSET(Sprachen!A533,0,'START, DÉBUT, INIZIO'!$D$4-1,1,1)</f>
        <v>Kosten für die Elektrizität für Umwälzpumpen</v>
      </c>
      <c r="C192" s="307">
        <f t="shared" si="32"/>
        <v>9</v>
      </c>
      <c r="D192" s="6">
        <f>J179</f>
        <v>0</v>
      </c>
      <c r="E192" s="6"/>
      <c r="G192" s="6"/>
    </row>
    <row r="193" spans="1:18" x14ac:dyDescent="0.2">
      <c r="B193" s="14" t="str">
        <f ca="1">OFFSET(Sprachen!A534,0,'START, DÉBUT, INIZIO'!$D$4-1,1,1)</f>
        <v>Betriebskosten</v>
      </c>
      <c r="C193" s="307">
        <f t="shared" si="32"/>
        <v>10</v>
      </c>
      <c r="D193" s="6">
        <f>F179</f>
        <v>0</v>
      </c>
      <c r="E193" s="6"/>
    </row>
    <row r="194" spans="1:18" x14ac:dyDescent="0.2">
      <c r="B194" s="14" t="str">
        <f ca="1">OFFSET(Sprachen!A535,0,'START, DÉBUT, INIZIO'!$D$4-1,1,1)</f>
        <v>Energiebewirtschaftungs- und -verwertungskosten</v>
      </c>
      <c r="C194" s="307">
        <f t="shared" si="32"/>
        <v>11</v>
      </c>
      <c r="D194" s="6">
        <f ca="1">G179</f>
        <v>0</v>
      </c>
      <c r="E194" s="6"/>
    </row>
    <row r="195" spans="1:18" x14ac:dyDescent="0.2">
      <c r="B195" s="407" t="str">
        <f ca="1">OFFSET(Sprachen!A536,0,'START, DÉBUT, INIZIO'!$D$4-1,1,1)</f>
        <v>Abgaben und Leistungen an das Gemeinwesen (inkl. Wasserzins)</v>
      </c>
      <c r="C195" s="307">
        <f t="shared" si="32"/>
        <v>12</v>
      </c>
      <c r="D195" s="409">
        <f>H179</f>
        <v>0</v>
      </c>
      <c r="E195" s="6"/>
    </row>
    <row r="196" spans="1:18" s="235" customFormat="1" ht="22.5" customHeight="1" x14ac:dyDescent="0.2">
      <c r="B196" s="448" t="str">
        <f ca="1">OFFSET(Sprachen!A537,0,'START, DÉBUT, INIZIO'!$D$4-1,1,1)</f>
        <v>gleitende Marktprämie ohne Berücksichtigung des max. Vergütungssatzes</v>
      </c>
      <c r="C196" s="356">
        <f t="shared" si="32"/>
        <v>13</v>
      </c>
      <c r="D196" s="365"/>
      <c r="E196" s="366" t="e">
        <f ca="1">E206-E184+E190+D198+D200+D202+D203+D205</f>
        <v>#DIV/0!</v>
      </c>
      <c r="F196" s="367" t="str">
        <f ca="1">OFFSET(Sprachen!A549,0,'START, DÉBUT, INIZIO'!$D$4-1,1,1)</f>
        <v>+ vom Netzzuschlagsfonds (NZF) zum Projekt, - vom Projekt zum NZF</v>
      </c>
    </row>
    <row r="197" spans="1:18" s="11" customFormat="1" ht="21" customHeight="1" x14ac:dyDescent="0.2">
      <c r="B197" s="368" t="str">
        <f ca="1">OFFSET(Sprachen!A539,0,'START, DÉBUT, INIZIO'!$D$4-1,1,1)</f>
        <v>EBITDA</v>
      </c>
      <c r="C197" s="357">
        <f t="shared" si="32"/>
        <v>14</v>
      </c>
      <c r="E197" s="355" t="e">
        <f ca="1">E184-E190+E196</f>
        <v>#DIV/0!</v>
      </c>
    </row>
    <row r="198" spans="1:18" s="11" customFormat="1" x14ac:dyDescent="0.2">
      <c r="B198" s="361" t="str">
        <f ca="1">OFFSET(Sprachen!A540,0,'START, DÉBUT, INIZIO'!$D$4-1,1,1)</f>
        <v>Abschreibungen</v>
      </c>
      <c r="C198" s="362">
        <f t="shared" si="32"/>
        <v>15</v>
      </c>
      <c r="D198" s="363">
        <f>'3 Investitionskosten'!N13/'3 Investitionskosten'!U13</f>
        <v>0</v>
      </c>
      <c r="E198" s="364"/>
    </row>
    <row r="199" spans="1:18" s="11" customFormat="1" ht="21" customHeight="1" x14ac:dyDescent="0.2">
      <c r="B199" s="368" t="str">
        <f ca="1">OFFSET(Sprachen!A541,0,'START, DÉBUT, INIZIO'!$D$4-1,1,1)</f>
        <v>EBIT</v>
      </c>
      <c r="C199" s="357">
        <f t="shared" si="32"/>
        <v>16</v>
      </c>
      <c r="E199" s="355" t="e">
        <f ca="1">E197-D198</f>
        <v>#DIV/0!</v>
      </c>
    </row>
    <row r="200" spans="1:18" s="11" customFormat="1" x14ac:dyDescent="0.2">
      <c r="B200" s="361" t="str">
        <f ca="1">OFFSET(Sprachen!A542,0,'START, DÉBUT, INIZIO'!$D$4-1,1,1)</f>
        <v>Fremdkapitalkosten</v>
      </c>
      <c r="C200" s="362">
        <f t="shared" si="32"/>
        <v>17</v>
      </c>
      <c r="D200" s="363">
        <f>E72</f>
        <v>0</v>
      </c>
      <c r="E200" s="364"/>
    </row>
    <row r="201" spans="1:18" s="11" customFormat="1" ht="21" customHeight="1" x14ac:dyDescent="0.2">
      <c r="B201" s="368" t="str">
        <f ca="1">OFFSET(Sprachen!A543,0,'START, DÉBUT, INIZIO'!$D$4-1,1,1)</f>
        <v>EBT</v>
      </c>
      <c r="C201" s="357">
        <f t="shared" si="32"/>
        <v>18</v>
      </c>
      <c r="E201" s="355" t="e">
        <f ca="1">E199-D200</f>
        <v>#DIV/0!</v>
      </c>
    </row>
    <row r="202" spans="1:18" s="11" customFormat="1" x14ac:dyDescent="0.2">
      <c r="B202" s="360" t="str">
        <f ca="1">OFFSET(Sprachen!A544,0,'START, DÉBUT, INIZIO'!$D$4-1,1,1)</f>
        <v>Eigenkapitalgewinnsteuer</v>
      </c>
      <c r="C202" s="358">
        <f t="shared" si="32"/>
        <v>19</v>
      </c>
      <c r="D202" s="6">
        <f>K179</f>
        <v>0</v>
      </c>
      <c r="E202" s="359"/>
    </row>
    <row r="203" spans="1:18" s="11" customFormat="1" x14ac:dyDescent="0.2">
      <c r="B203" s="361" t="str">
        <f ca="1">OFFSET(Sprachen!A545,0,'START, DÉBUT, INIZIO'!$D$4-1,1,1)</f>
        <v xml:space="preserve">Gewinnsteuer auf übersteigendem Anteil </v>
      </c>
      <c r="C203" s="362">
        <f t="shared" si="32"/>
        <v>20</v>
      </c>
      <c r="D203" s="363" t="e">
        <f>Q180</f>
        <v>#DIV/0!</v>
      </c>
      <c r="E203" s="364"/>
    </row>
    <row r="204" spans="1:18" s="11" customFormat="1" ht="21" customHeight="1" x14ac:dyDescent="0.2">
      <c r="B204" s="368" t="str">
        <f ca="1">OFFSET(Sprachen!A546,0,'START, DÉBUT, INIZIO'!$D$4-1,1,1)</f>
        <v>EAT</v>
      </c>
      <c r="C204" s="357">
        <f t="shared" si="32"/>
        <v>21</v>
      </c>
      <c r="E204" s="355" t="e">
        <f ca="1">E201-D202-D203</f>
        <v>#DIV/0!</v>
      </c>
    </row>
    <row r="205" spans="1:18" s="11" customFormat="1" x14ac:dyDescent="0.2">
      <c r="B205" s="361" t="str">
        <f ca="1">OFFSET(Sprachen!A547,0,'START, DÉBUT, INIZIO'!$D$4-1,1,1)</f>
        <v>Eigenkapitalkosten</v>
      </c>
      <c r="C205" s="362">
        <f t="shared" si="32"/>
        <v>22</v>
      </c>
      <c r="D205" s="363">
        <f>$E$71</f>
        <v>0</v>
      </c>
      <c r="E205" s="364"/>
      <c r="F205" s="360"/>
    </row>
    <row r="206" spans="1:18" s="11" customFormat="1" ht="21" customHeight="1" x14ac:dyDescent="0.2">
      <c r="B206" s="368" t="str">
        <f ca="1">OFFSET(Sprachen!A548,0,'START, DÉBUT, INIZIO'!$D$4-1,1,1)</f>
        <v>Gewinn nach Eigenkapitalkosten</v>
      </c>
      <c r="C206" s="369">
        <f t="shared" si="32"/>
        <v>23</v>
      </c>
      <c r="E206" s="355" t="e">
        <f>Q179-Q180</f>
        <v>#DIV/0!</v>
      </c>
      <c r="F206" s="11" t="str">
        <f ca="1">OFFSET(Sprachen!A550,0,'START, DÉBUT, INIZIO'!$D$4-1,1,1)</f>
        <v>Beim Projekt verbleibender übersteigender Anteil</v>
      </c>
    </row>
    <row r="207" spans="1:18" s="11" customFormat="1" x14ac:dyDescent="0.2">
      <c r="B207" s="360"/>
      <c r="C207" s="358"/>
      <c r="E207" s="359"/>
    </row>
    <row r="208" spans="1:18" ht="13.5" thickBot="1" x14ac:dyDescent="0.25">
      <c r="A208" s="271"/>
      <c r="B208" s="271"/>
      <c r="C208" s="271"/>
      <c r="D208" s="271"/>
      <c r="E208" s="271"/>
      <c r="F208" s="271"/>
      <c r="G208" s="271"/>
      <c r="H208" s="271"/>
      <c r="I208" s="271"/>
      <c r="J208" s="271"/>
      <c r="K208" s="271"/>
      <c r="L208" s="271"/>
      <c r="M208" s="271"/>
      <c r="N208" s="271"/>
      <c r="O208" s="271"/>
      <c r="P208" s="271"/>
      <c r="Q208" s="271"/>
      <c r="R208" s="271"/>
    </row>
    <row r="209" spans="1:11" ht="26.1" customHeight="1" x14ac:dyDescent="0.2">
      <c r="A209" s="12" t="str">
        <f ca="1">OFFSET(Sprachen!A551,0,'START, DÉBUT, INIZIO'!$D$4-1,1,1)</f>
        <v>Kennzahlen</v>
      </c>
      <c r="B209" s="1"/>
      <c r="C209" s="1"/>
      <c r="D209" s="3"/>
      <c r="E209" s="900"/>
      <c r="F209" s="900"/>
      <c r="G209" s="900"/>
      <c r="H209" s="900"/>
      <c r="I209" s="900"/>
    </row>
    <row r="210" spans="1:11" x14ac:dyDescent="0.2">
      <c r="B210" s="351" t="str">
        <f ca="1">OFFSET(Sprachen!A552,0,'START, DÉBUT, INIZIO'!$D$4-1,1,1)</f>
        <v>Kapitalkosten</v>
      </c>
      <c r="C210" s="5">
        <v>1</v>
      </c>
      <c r="D210" s="6">
        <f>D6</f>
        <v>0</v>
      </c>
      <c r="E210" t="s">
        <v>8</v>
      </c>
      <c r="K210" s="6"/>
    </row>
    <row r="211" spans="1:11" x14ac:dyDescent="0.2">
      <c r="B211" s="351" t="str">
        <f ca="1">OFFSET(Sprachen!A553,0,'START, DÉBUT, INIZIO'!$D$4-1,1,1)</f>
        <v>Betriebskosten</v>
      </c>
      <c r="C211" s="307">
        <f t="shared" ref="C211:C234" si="33">C210+1</f>
        <v>2</v>
      </c>
      <c r="D211" s="6">
        <f>D193</f>
        <v>0</v>
      </c>
      <c r="E211" t="s">
        <v>8</v>
      </c>
      <c r="K211" s="6"/>
    </row>
    <row r="212" spans="1:11" x14ac:dyDescent="0.2">
      <c r="B212" s="351" t="str">
        <f ca="1">OFFSET(Sprachen!A554,0,'START, DÉBUT, INIZIO'!$D$4-1,1,1)</f>
        <v>Energiebewirtschaftungs- und -verwertungskosten</v>
      </c>
      <c r="C212" s="307">
        <f t="shared" si="33"/>
        <v>3</v>
      </c>
      <c r="D212" s="6">
        <f ca="1">D194</f>
        <v>0</v>
      </c>
      <c r="E212" t="s">
        <v>8</v>
      </c>
      <c r="K212" s="6"/>
    </row>
    <row r="213" spans="1:11" x14ac:dyDescent="0.2">
      <c r="B213" s="351" t="str">
        <f ca="1">OFFSET(Sprachen!A555,0,'START, DÉBUT, INIZIO'!$D$4-1,1,1)</f>
        <v>Abgaben und Leistungen an das Gemeinwesen</v>
      </c>
      <c r="C213" s="307">
        <f t="shared" si="33"/>
        <v>4</v>
      </c>
      <c r="D213" s="6">
        <f>D195</f>
        <v>0</v>
      </c>
      <c r="E213" t="s">
        <v>8</v>
      </c>
      <c r="K213" s="6"/>
    </row>
    <row r="214" spans="1:11" x14ac:dyDescent="0.2">
      <c r="B214" s="351" t="str">
        <f ca="1">OFFSET(Sprachen!A556,0,'START, DÉBUT, INIZIO'!$D$4-1,1,1)</f>
        <v>Kosten für die Elektrizität für Zubringerpumpen</v>
      </c>
      <c r="C214" s="307">
        <f t="shared" si="33"/>
        <v>5</v>
      </c>
      <c r="D214" s="6">
        <f>D191</f>
        <v>0</v>
      </c>
      <c r="E214" t="s">
        <v>8</v>
      </c>
      <c r="K214" s="6"/>
    </row>
    <row r="215" spans="1:11" x14ac:dyDescent="0.2">
      <c r="B215" s="14" t="str">
        <f ca="1">OFFSET(Sprachen!A557,0,'START, DÉBUT, INIZIO'!$D$4-1,1,1)</f>
        <v>Kosten für die Elektrizität für Umwälzpumpen</v>
      </c>
      <c r="C215" s="307">
        <f t="shared" si="33"/>
        <v>6</v>
      </c>
      <c r="D215" s="6">
        <f>D192</f>
        <v>0</v>
      </c>
      <c r="E215" t="s">
        <v>8</v>
      </c>
      <c r="K215" s="6"/>
    </row>
    <row r="216" spans="1:11" x14ac:dyDescent="0.2">
      <c r="B216" s="351" t="str">
        <f ca="1">OFFSET(Sprachen!A558,0,'START, DÉBUT, INIZIO'!$D$4-1,1,1)</f>
        <v>Eigenkapitalgewinnsteuer</v>
      </c>
      <c r="C216" s="307">
        <f t="shared" si="33"/>
        <v>7</v>
      </c>
      <c r="D216" s="6">
        <f>D202</f>
        <v>0</v>
      </c>
      <c r="E216" t="s">
        <v>8</v>
      </c>
      <c r="K216" s="6"/>
    </row>
    <row r="217" spans="1:11" x14ac:dyDescent="0.2">
      <c r="B217" s="14" t="str">
        <f ca="1">OFFSET(Sprachen!A559,0,'START, DÉBUT, INIZIO'!$D$4-1,1,1)</f>
        <v xml:space="preserve">Gewinnsteuer auf zurückbehaltenem übersteigendem Anteil </v>
      </c>
      <c r="C217" s="307">
        <f t="shared" si="33"/>
        <v>8</v>
      </c>
      <c r="D217" s="6" t="e">
        <f>D203</f>
        <v>#DIV/0!</v>
      </c>
      <c r="E217" t="s">
        <v>8</v>
      </c>
      <c r="K217" s="6"/>
    </row>
    <row r="218" spans="1:11" ht="13.5" thickBot="1" x14ac:dyDescent="0.25">
      <c r="B218" s="360" t="str">
        <f ca="1">OFFSET(Sprachen!A560,0,'START, DÉBUT, INIZIO'!$D$4-1,1,1)</f>
        <v>Zurückbahaltener übersteigender Anteil</v>
      </c>
      <c r="C218" s="307">
        <f t="shared" si="33"/>
        <v>9</v>
      </c>
      <c r="D218" s="6" t="e">
        <f>E206</f>
        <v>#DIV/0!</v>
      </c>
      <c r="E218" t="s">
        <v>8</v>
      </c>
      <c r="K218" s="6"/>
    </row>
    <row r="219" spans="1:11" s="235" customFormat="1" ht="21" customHeight="1" thickBot="1" x14ac:dyDescent="0.25">
      <c r="B219" s="387" t="str">
        <f ca="1">OFFSET(Sprachen!A561,0,'START, DÉBUT, INIZIO'!$D$4-1,1,1)</f>
        <v>Jahreskosten aus Investition</v>
      </c>
      <c r="C219" s="389">
        <f t="shared" si="33"/>
        <v>10</v>
      </c>
      <c r="D219" s="390" t="e">
        <f ca="1">SUM(D210:D218)</f>
        <v>#DIV/0!</v>
      </c>
      <c r="E219" s="388" t="s">
        <v>8</v>
      </c>
      <c r="K219" s="384"/>
    </row>
    <row r="220" spans="1:11" ht="21" customHeight="1" x14ac:dyDescent="0.2">
      <c r="B220" s="14" t="str">
        <f ca="1">OFFSET(Sprachen!A562,0,'START, DÉBUT, INIZIO'!$D$4-1,1,1)</f>
        <v>Day-Ahead-Verkauf</v>
      </c>
      <c r="C220" s="5">
        <f t="shared" si="33"/>
        <v>11</v>
      </c>
      <c r="D220" s="6">
        <f>D185</f>
        <v>0</v>
      </c>
      <c r="E220" t="s">
        <v>8</v>
      </c>
      <c r="K220" s="6"/>
    </row>
    <row r="221" spans="1:11" x14ac:dyDescent="0.2">
      <c r="B221" s="14" t="str">
        <f ca="1">OFFSET(Sprachen!A563,0,'START, DÉBUT, INIZIO'!$D$4-1,1,1)</f>
        <v>Terminmarktabsicherung</v>
      </c>
      <c r="C221" s="307">
        <f t="shared" si="33"/>
        <v>12</v>
      </c>
      <c r="D221" s="6">
        <f>D186</f>
        <v>0</v>
      </c>
      <c r="E221" t="s">
        <v>8</v>
      </c>
      <c r="K221" s="6"/>
    </row>
    <row r="222" spans="1:11" x14ac:dyDescent="0.2">
      <c r="B222" s="14" t="str">
        <f ca="1">OFFSET(Sprachen!A564,0,'START, DÉBUT, INIZIO'!$D$4-1,1,1)</f>
        <v>Systemdienstleistungsmarkt</v>
      </c>
      <c r="C222" s="307">
        <f t="shared" si="33"/>
        <v>13</v>
      </c>
      <c r="D222" s="6">
        <f ca="1">D187</f>
        <v>0</v>
      </c>
      <c r="E222" t="s">
        <v>8</v>
      </c>
      <c r="K222" s="6"/>
    </row>
    <row r="223" spans="1:11" x14ac:dyDescent="0.2">
      <c r="B223" s="14" t="str">
        <f ca="1">OFFSET(Sprachen!A565,0,'START, DÉBUT, INIZIO'!$D$4-1,1,1)</f>
        <v>Herkunftsnachweise</v>
      </c>
      <c r="C223" s="307">
        <f t="shared" si="33"/>
        <v>14</v>
      </c>
      <c r="D223" s="6" t="e">
        <f>D188</f>
        <v>#DIV/0!</v>
      </c>
      <c r="E223" t="s">
        <v>8</v>
      </c>
      <c r="K223" s="6"/>
    </row>
    <row r="224" spans="1:11" ht="13.5" thickBot="1" x14ac:dyDescent="0.25">
      <c r="B224" s="14" t="str">
        <f ca="1">OFFSET(Sprachen!A566,0,'START, DÉBUT, INIZIO'!$D$4-1,1,1)</f>
        <v>Winterreserve</v>
      </c>
      <c r="C224" s="307">
        <f t="shared" si="33"/>
        <v>15</v>
      </c>
      <c r="D224" s="6">
        <f>D189</f>
        <v>0</v>
      </c>
      <c r="E224" t="s">
        <v>8</v>
      </c>
      <c r="K224" s="6"/>
    </row>
    <row r="225" spans="1:18" s="235" customFormat="1" ht="21" customHeight="1" thickBot="1" x14ac:dyDescent="0.25">
      <c r="B225" s="387" t="str">
        <f ca="1">OFFSET(Sprachen!A567,0,'START, DÉBUT, INIZIO'!$D$4-1,1,1)</f>
        <v>Erlös aus Investition</v>
      </c>
      <c r="C225" s="389">
        <f t="shared" si="33"/>
        <v>16</v>
      </c>
      <c r="D225" s="390" t="e">
        <f ca="1">SUM(D220:D224)</f>
        <v>#DIV/0!</v>
      </c>
      <c r="E225" s="388" t="s">
        <v>8</v>
      </c>
      <c r="K225" s="384"/>
    </row>
    <row r="226" spans="1:18" ht="35.450000000000003" customHeight="1" x14ac:dyDescent="0.2">
      <c r="B226" s="410" t="str">
        <f ca="1">OFFSET(Sprachen!A568,0,'START, DÉBUT, INIZIO'!$D$4-1,1,1)</f>
        <v>Mehrproduktion aus Investition (ohne neue Speicherkapazität)</v>
      </c>
      <c r="C226" s="307">
        <f t="shared" si="33"/>
        <v>17</v>
      </c>
      <c r="D226" s="409">
        <f>'2 Techn. Angaben &amp; Produktion'!R55</f>
        <v>0</v>
      </c>
      <c r="E226" s="235" t="s">
        <v>9</v>
      </c>
      <c r="K226" s="6"/>
    </row>
    <row r="227" spans="1:18" ht="13.5" thickBot="1" x14ac:dyDescent="0.25">
      <c r="B227" s="351" t="str">
        <f ca="1">OFFSET(Sprachen!A569,0,'START, DÉBUT, INIZIO'!$D$4-1,1,1)</f>
        <v>Neue Speicherkapazität</v>
      </c>
      <c r="C227" s="307">
        <f t="shared" si="33"/>
        <v>18</v>
      </c>
      <c r="D227" s="6" t="e">
        <f ca="1">'2 Techn. Angaben &amp; Produktion'!V55</f>
        <v>#DIV/0!</v>
      </c>
      <c r="E227" t="s">
        <v>9</v>
      </c>
      <c r="K227" s="6"/>
    </row>
    <row r="228" spans="1:18" s="235" customFormat="1" ht="28.5" customHeight="1" thickBot="1" x14ac:dyDescent="0.25">
      <c r="B228" s="765" t="str">
        <f ca="1">OFFSET(Sprachen!A571,0,'START, DÉBUT, INIZIO'!$D$4-1,1,1)</f>
        <v>Mehrproduktion aus Investition (inkl. neue Speicherkapazität)</v>
      </c>
      <c r="C228" s="378">
        <f t="shared" si="33"/>
        <v>19</v>
      </c>
      <c r="D228" s="390">
        <f>'2 Techn. Angaben &amp; Produktion'!AB55</f>
        <v>0</v>
      </c>
      <c r="E228" s="388" t="s">
        <v>9</v>
      </c>
      <c r="K228" s="384"/>
    </row>
    <row r="229" spans="1:18" ht="21" customHeight="1" x14ac:dyDescent="0.2">
      <c r="A229" s="351"/>
      <c r="B229" s="351" t="str">
        <f ca="1">OFFSET(Sprachen!A572,0,'START, DÉBUT, INIZIO'!$D$4-1,1,1)</f>
        <v>Referenz-Marktpreis</v>
      </c>
      <c r="C229" s="374">
        <f t="shared" si="33"/>
        <v>20</v>
      </c>
      <c r="D229" s="352" t="e">
        <f ca="1">D225/D228</f>
        <v>#DIV/0!</v>
      </c>
      <c r="E229" t="s">
        <v>10</v>
      </c>
      <c r="K229" s="352"/>
    </row>
    <row r="230" spans="1:18" x14ac:dyDescent="0.2">
      <c r="A230" s="351"/>
      <c r="B230" s="351" t="str">
        <f ca="1">OFFSET(Sprachen!A573,0,'START, DÉBUT, INIZIO'!$D$4-1,1,1)</f>
        <v>Vergütungssatz berechnet</v>
      </c>
      <c r="C230" s="307">
        <f t="shared" si="33"/>
        <v>21</v>
      </c>
      <c r="D230" s="352" t="e">
        <f ca="1">D219/D228</f>
        <v>#DIV/0!</v>
      </c>
      <c r="E230" t="s">
        <v>10</v>
      </c>
      <c r="K230" s="352"/>
    </row>
    <row r="231" spans="1:18" x14ac:dyDescent="0.2">
      <c r="A231" s="351"/>
      <c r="B231" s="14" t="str">
        <f ca="1">OFFSET(Sprachen!A626,0,'START, DÉBUT, INIZIO'!$D$4-1,1,1)</f>
        <v>maximaler Vergütungssatz</v>
      </c>
      <c r="C231" s="307">
        <v>22</v>
      </c>
      <c r="D231" s="313">
        <f>Vorgaben!K4</f>
        <v>300</v>
      </c>
      <c r="E231" t="s">
        <v>10</v>
      </c>
      <c r="K231" s="352"/>
    </row>
    <row r="232" spans="1:18" x14ac:dyDescent="0.2">
      <c r="A232" s="351"/>
      <c r="B232" s="351" t="str">
        <f ca="1">OFFSET(Sprachen!A574,0,'START, DÉBUT, INIZIO'!$D$4-1,1,1)</f>
        <v>Vergütungssatz</v>
      </c>
      <c r="C232" s="307">
        <v>23</v>
      </c>
      <c r="D232" s="760" t="e">
        <f ca="1">IF(D230&gt;D231,D231,D230)</f>
        <v>#DIV/0!</v>
      </c>
      <c r="E232" t="s">
        <v>10</v>
      </c>
      <c r="K232" s="352"/>
    </row>
    <row r="233" spans="1:18" ht="13.5" thickBot="1" x14ac:dyDescent="0.25">
      <c r="A233" s="351"/>
      <c r="B233" s="351" t="str">
        <f ca="1">OFFSET(Sprachen!A575,0,'START, DÉBUT, INIZIO'!$D$4-1,1,1)</f>
        <v>gMP mit Berücksichtigung des max. Vergütungssatzes (spezifisch)</v>
      </c>
      <c r="C233" s="307">
        <v>24</v>
      </c>
      <c r="D233" s="352" t="e">
        <f ca="1">IF(D230&lt;D231,D230-D229,D231-D229)</f>
        <v>#DIV/0!</v>
      </c>
      <c r="E233" t="s">
        <v>10</v>
      </c>
      <c r="K233" s="352"/>
    </row>
    <row r="234" spans="1:18" s="235" customFormat="1" ht="21" customHeight="1" thickBot="1" x14ac:dyDescent="0.25">
      <c r="A234" s="379"/>
      <c r="B234" s="380" t="str">
        <f ca="1">OFFSET(Sprachen!A576,0,'START, DÉBUT, INIZIO'!$D$4-1,1,1)</f>
        <v>gMP mit Berücksichtigung des max. Vergütungssatzes (absolut)</v>
      </c>
      <c r="C234" s="386">
        <f t="shared" si="33"/>
        <v>25</v>
      </c>
      <c r="D234" s="385" t="e">
        <f ca="1">D228*D233</f>
        <v>#DIV/0!</v>
      </c>
      <c r="E234" s="381" t="str">
        <f ca="1">OFFSET(Sprachen!A577,0,'START, DÉBUT, INIZIO'!$D$4-1,1,1)</f>
        <v>CHF, + vom NZF zum Projekt, - vom Projekt zum NZF</v>
      </c>
      <c r="F234" s="382"/>
      <c r="G234" s="382"/>
      <c r="H234" s="383"/>
      <c r="K234" s="384"/>
    </row>
    <row r="235" spans="1:18" ht="13.5" thickBot="1" x14ac:dyDescent="0.25">
      <c r="A235" s="271"/>
      <c r="B235" s="371"/>
      <c r="C235" s="371"/>
      <c r="D235" s="371"/>
      <c r="E235" s="371"/>
      <c r="F235" s="371"/>
      <c r="G235" s="271"/>
      <c r="H235" s="271"/>
      <c r="I235" s="271"/>
      <c r="J235" s="271"/>
      <c r="K235" s="271"/>
      <c r="L235" s="271"/>
      <c r="M235" s="271"/>
      <c r="N235" s="271"/>
      <c r="O235" s="271"/>
      <c r="P235" s="271"/>
      <c r="Q235" s="271"/>
      <c r="R235" s="271"/>
    </row>
    <row r="236" spans="1:18" ht="26.1" customHeight="1" x14ac:dyDescent="0.2">
      <c r="A236" s="12" t="str">
        <f ca="1">OFFSET(Sprachen!A578,0,'START, DÉBUT, INIZIO'!$D$4-1,1,1)</f>
        <v>Jährlich zu bestimmender Prozentsatz zur Ermittlung der Mehrproduktion aus Investition, der Betriebskosten und den Abgaben</v>
      </c>
      <c r="B236" s="1"/>
      <c r="C236" s="1"/>
      <c r="D236" s="3"/>
      <c r="E236" s="1"/>
    </row>
    <row r="237" spans="1:18" x14ac:dyDescent="0.2">
      <c r="B237" s="332" t="str">
        <f ca="1">OFFSET(Sprachen!A579,0,'START, DÉBUT, INIZIO'!$D$4-1,1,1)</f>
        <v>Mehrerlös aus Investition (nur Day-Ahead)</v>
      </c>
      <c r="C237" s="307">
        <v>1</v>
      </c>
      <c r="D237" s="409">
        <f>D220</f>
        <v>0</v>
      </c>
      <c r="E237" s="4" t="s">
        <v>8</v>
      </c>
    </row>
    <row r="238" spans="1:18" x14ac:dyDescent="0.2">
      <c r="B238" s="332" t="str">
        <f ca="1">OFFSET(Sprachen!A580,0,'START, DÉBUT, INIZIO'!$D$4-1,1,1)</f>
        <v>Gesamterlös aus Investition (nur Day-Ahead)</v>
      </c>
      <c r="C238" s="307">
        <f>C237+1</f>
        <v>2</v>
      </c>
      <c r="D238" s="409">
        <f>H91</f>
        <v>0</v>
      </c>
      <c r="E238" s="4" t="s">
        <v>8</v>
      </c>
    </row>
    <row r="239" spans="1:18" x14ac:dyDescent="0.2">
      <c r="B239" s="3" t="str">
        <f ca="1">OFFSET(Sprachen!A581,0,'START, DÉBUT, INIZIO'!$D$4-1,1,1)</f>
        <v>Prozentsatz</v>
      </c>
      <c r="C239" s="307">
        <f>C238+1</f>
        <v>3</v>
      </c>
      <c r="D239" s="376" t="e">
        <f>D237/D238</f>
        <v>#DIV/0!</v>
      </c>
    </row>
    <row r="240" spans="1:18" ht="13.5" thickBot="1" x14ac:dyDescent="0.25">
      <c r="A240" s="271"/>
      <c r="B240" s="371"/>
      <c r="C240" s="371"/>
      <c r="D240" s="371"/>
      <c r="E240" s="375"/>
      <c r="F240" s="371"/>
      <c r="G240" s="271"/>
      <c r="H240" s="271"/>
      <c r="I240" s="271"/>
      <c r="J240" s="271"/>
      <c r="K240" s="271"/>
      <c r="L240" s="271"/>
      <c r="M240" s="271"/>
      <c r="N240" s="271"/>
      <c r="O240" s="271"/>
      <c r="P240" s="271"/>
      <c r="Q240" s="271"/>
      <c r="R240" s="271"/>
    </row>
    <row r="241" spans="1:5" ht="26.1" customHeight="1" x14ac:dyDescent="0.2">
      <c r="A241" s="12"/>
      <c r="B241" s="1"/>
      <c r="C241" s="1"/>
      <c r="D241" s="3"/>
      <c r="E241" s="1"/>
    </row>
  </sheetData>
  <sheetProtection algorithmName="SHA-512" hashValue="M7AAcZM8DUOoZe4rYO383Zc0SF2FsAn2W8dU9jcT1NlAxB75KPFqCsxn2POSYQVIYNRZLRmZN0cQFCDkwAVzpw==" saltValue="U1mQmLv3dNOEDi+0vUrSjQ==" spinCount="100000" sheet="1" objects="1" scenarios="1"/>
  <mergeCells count="40">
    <mergeCell ref="E182:I182"/>
    <mergeCell ref="E209:I209"/>
    <mergeCell ref="M95:T95"/>
    <mergeCell ref="D97:E97"/>
    <mergeCell ref="G97:H97"/>
    <mergeCell ref="M97:N97"/>
    <mergeCell ref="P97:Q97"/>
    <mergeCell ref="E148:I148"/>
    <mergeCell ref="F30:R30"/>
    <mergeCell ref="F31:R31"/>
    <mergeCell ref="G35:H35"/>
    <mergeCell ref="J35:K35"/>
    <mergeCell ref="G52:H52"/>
    <mergeCell ref="J52:K52"/>
    <mergeCell ref="E34:I34"/>
    <mergeCell ref="E51:I51"/>
    <mergeCell ref="D35:E35"/>
    <mergeCell ref="D52:E52"/>
    <mergeCell ref="F29:R29"/>
    <mergeCell ref="F20:R20"/>
    <mergeCell ref="F21:R21"/>
    <mergeCell ref="F26:R26"/>
    <mergeCell ref="F27:R27"/>
    <mergeCell ref="F28:R28"/>
    <mergeCell ref="E68:I68"/>
    <mergeCell ref="D95:K95"/>
    <mergeCell ref="E76:I76"/>
    <mergeCell ref="E136:I136"/>
    <mergeCell ref="E141:I141"/>
    <mergeCell ref="E113:I113"/>
    <mergeCell ref="E130:I130"/>
    <mergeCell ref="D77:E77"/>
    <mergeCell ref="G77:H77"/>
    <mergeCell ref="D1:D2"/>
    <mergeCell ref="F9:R9"/>
    <mergeCell ref="F14:R14"/>
    <mergeCell ref="F13:R13"/>
    <mergeCell ref="F12:R12"/>
    <mergeCell ref="F11:R11"/>
    <mergeCell ref="F10:R10"/>
  </mergeCells>
  <hyperlinks>
    <hyperlink ref="D1" location="'START, DÉBUT, INIZIO'!A1" display="START / DÉBUT / INIZIO" xr:uid="{A3055D80-FC2C-4396-BF8B-2DF28888E7E9}"/>
  </hyperlinks>
  <pageMargins left="0.7" right="0.7" top="0.78740157499999996" bottom="0.78740157499999996" header="0.3" footer="0.3"/>
  <pageSetup paperSize="9" orientation="portrait" r:id="rId1"/>
  <ignoredErrors>
    <ignoredError sqref="E145"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 id="{78132090-D95D-4718-BF42-493A3D439382}">
            <xm:f>'START, DÉBUT, INIZIO'!$E$35&lt;&gt;2</xm:f>
            <x14:dxf>
              <font>
                <color theme="0" tint="-0.14996795556505021"/>
              </font>
              <fill>
                <patternFill patternType="none">
                  <bgColor auto="1"/>
                </patternFill>
              </fill>
            </x14:dxf>
          </x14:cfRule>
          <xm:sqref>A1:XFD1048576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72281-3C8B-4B27-B2B6-43A5F96FD3C3}">
  <sheetPr>
    <tabColor rgb="FFFFC000"/>
  </sheetPr>
  <dimension ref="A1:T237"/>
  <sheetViews>
    <sheetView showGridLines="0" zoomScaleNormal="100" workbookViewId="0">
      <selection activeCell="D227" sqref="D227"/>
    </sheetView>
  </sheetViews>
  <sheetFormatPr baseColWidth="10" defaultRowHeight="12.75" x14ac:dyDescent="0.2"/>
  <cols>
    <col min="1" max="1" width="6.7109375" customWidth="1"/>
    <col min="2" max="2" width="72" customWidth="1"/>
    <col min="3" max="3" width="6.28515625" customWidth="1"/>
    <col min="4" max="4" width="16.85546875" customWidth="1"/>
    <col min="5" max="5" width="20.28515625" bestFit="1" customWidth="1"/>
    <col min="6" max="6" width="13.28515625" customWidth="1"/>
    <col min="7" max="7" width="16.140625" customWidth="1"/>
    <col min="8" max="8" width="17" customWidth="1"/>
    <col min="9" max="9" width="11.140625" customWidth="1"/>
    <col min="10" max="10" width="15.42578125" customWidth="1"/>
    <col min="11" max="11" width="16.7109375" customWidth="1"/>
    <col min="12" max="12" width="13.42578125" customWidth="1"/>
    <col min="13" max="14" width="16.140625" customWidth="1"/>
    <col min="15" max="15" width="12.42578125" customWidth="1"/>
    <col min="16" max="17" width="15.28515625" customWidth="1"/>
    <col min="18" max="18" width="12.28515625" customWidth="1"/>
    <col min="21" max="21" width="12" customWidth="1"/>
    <col min="22" max="22" width="4.5703125" customWidth="1"/>
    <col min="24" max="24" width="14.42578125" customWidth="1"/>
    <col min="25" max="25" width="10.7109375" customWidth="1"/>
    <col min="27" max="27" width="16.28515625" customWidth="1"/>
  </cols>
  <sheetData>
    <row r="1" spans="1:18" ht="15.75" customHeight="1" x14ac:dyDescent="0.2">
      <c r="A1" s="1" t="str">
        <f ca="1">DropDown!$A$4</f>
        <v>Erhebliche Erneuerung</v>
      </c>
      <c r="D1" s="901" t="s">
        <v>1582</v>
      </c>
    </row>
    <row r="2" spans="1:18" x14ac:dyDescent="0.2">
      <c r="A2" s="1" t="str">
        <f ca="1">DropDown!$A$7</f>
        <v>steuerbar &amp; &gt; 3 MWbr</v>
      </c>
      <c r="D2" s="901"/>
    </row>
    <row r="3" spans="1:18" s="236" customFormat="1" ht="15.75" customHeight="1" thickBot="1" x14ac:dyDescent="0.25">
      <c r="A3" s="279">
        <f>'START, DÉBUT, INIZIO'!$C$21</f>
        <v>0</v>
      </c>
      <c r="B3" s="237"/>
      <c r="C3" s="237"/>
      <c r="D3" s="237"/>
      <c r="E3" s="237"/>
      <c r="F3" s="237"/>
      <c r="G3" s="237"/>
      <c r="H3" s="237"/>
      <c r="I3" s="237"/>
      <c r="J3" s="237"/>
      <c r="K3" s="237"/>
      <c r="L3" s="237"/>
      <c r="M3" s="237"/>
      <c r="N3" s="237"/>
      <c r="O3" s="237"/>
      <c r="P3" s="237"/>
      <c r="Q3" s="237"/>
      <c r="R3" s="237"/>
    </row>
    <row r="4" spans="1:18" s="236" customFormat="1" ht="25.5" customHeight="1" x14ac:dyDescent="0.2">
      <c r="A4" s="684">
        <v>4.3</v>
      </c>
      <c r="B4" s="685" t="str">
        <f ca="1">OFFSET(Sprachen!A405,0,'START, DÉBUT, INIZIO'!$D$4-1,1,1)</f>
        <v>Jahreskosten</v>
      </c>
      <c r="C4" s="686"/>
      <c r="D4" s="686"/>
      <c r="E4" s="686"/>
      <c r="F4" s="686"/>
      <c r="G4" s="686"/>
      <c r="H4" s="686"/>
      <c r="I4" s="686"/>
      <c r="J4" s="686"/>
      <c r="K4" s="686"/>
      <c r="L4" s="686"/>
      <c r="M4" s="686"/>
      <c r="N4" s="686"/>
      <c r="O4" s="686"/>
      <c r="P4" s="686"/>
      <c r="Q4" s="686"/>
      <c r="R4" s="686"/>
    </row>
    <row r="5" spans="1:18" ht="26.1" customHeight="1" x14ac:dyDescent="0.2">
      <c r="A5" s="12" t="str">
        <f ca="1">OFFSET(Sprachen!A406,0,'START, DÉBUT, INIZIO'!$D$4-1,1,1)</f>
        <v>Investitionsbedingte Kosten für Kapital (Abschreibung + EK + FK)</v>
      </c>
      <c r="B5" s="268"/>
      <c r="C5" s="268"/>
      <c r="D5" s="3"/>
      <c r="E5" s="269"/>
      <c r="F5" s="269"/>
      <c r="G5" s="269"/>
      <c r="I5" s="1"/>
    </row>
    <row r="6" spans="1:18" x14ac:dyDescent="0.2">
      <c r="C6" s="306">
        <v>1</v>
      </c>
      <c r="D6" s="308">
        <f>'3 Investitionskosten'!$W$13</f>
        <v>0</v>
      </c>
      <c r="E6" s="312" t="s">
        <v>123</v>
      </c>
      <c r="F6" s="309" t="str">
        <f ca="1">OFFSET(Sprachen!A407,0,'START, DÉBUT, INIZIO'!$D$4-1,1,1)</f>
        <v>Anrechenbare Annuität</v>
      </c>
    </row>
    <row r="7" spans="1:18" ht="13.5" thickBot="1" x14ac:dyDescent="0.25">
      <c r="A7" s="271"/>
      <c r="B7" s="271"/>
      <c r="C7" s="271"/>
      <c r="D7" s="271"/>
      <c r="E7" s="271"/>
      <c r="F7" s="271"/>
      <c r="G7" s="271"/>
      <c r="H7" s="271"/>
      <c r="I7" s="271"/>
      <c r="J7" s="271"/>
      <c r="K7" s="271"/>
      <c r="L7" s="271"/>
      <c r="M7" s="271"/>
      <c r="N7" s="271"/>
      <c r="O7" s="271"/>
      <c r="P7" s="271"/>
      <c r="Q7" s="271"/>
      <c r="R7" s="271"/>
    </row>
    <row r="8" spans="1:18" ht="26.1" customHeight="1" x14ac:dyDescent="0.2">
      <c r="A8" s="12" t="str">
        <f ca="1">OFFSET(Sprachen!A408,0,'START, DÉBUT, INIZIO'!$D$4-1,1,1)</f>
        <v>Investitionsbedingte Kosten für Betrieb</v>
      </c>
      <c r="B8" s="268"/>
      <c r="C8" s="268"/>
      <c r="D8" s="3"/>
      <c r="E8" s="318"/>
      <c r="F8" s="1"/>
      <c r="G8" s="269"/>
      <c r="I8" s="1"/>
    </row>
    <row r="9" spans="1:18" x14ac:dyDescent="0.2">
      <c r="B9" t="str">
        <f ca="1">OFFSET(Sprachen!A409,0,'START, DÉBUT, INIZIO'!$D$4-1,1,1)</f>
        <v>Durchschnittliche Betriebskosten vor Investition</v>
      </c>
      <c r="C9" s="306">
        <v>1</v>
      </c>
      <c r="D9" s="792"/>
      <c r="E9" s="310" t="s">
        <v>123</v>
      </c>
      <c r="F9" s="1"/>
    </row>
    <row r="10" spans="1:18" x14ac:dyDescent="0.2">
      <c r="B10" t="str">
        <f ca="1">OFFSET(Sprachen!A411,0,'START, DÉBUT, INIZIO'!$D$4-1,1,1)</f>
        <v>Prozentzsatz Mehrerlös/Gesamterlös Day Ahed</v>
      </c>
      <c r="C10" s="307">
        <f>C9+1</f>
        <v>2</v>
      </c>
      <c r="D10" s="376" t="e">
        <f>D235</f>
        <v>#DIV/0!</v>
      </c>
      <c r="E10" s="310"/>
      <c r="F10" s="1"/>
    </row>
    <row r="11" spans="1:18" ht="19.5" customHeight="1" x14ac:dyDescent="0.2">
      <c r="C11" s="5">
        <f t="shared" ref="C11" si="0">C10+1</f>
        <v>3</v>
      </c>
      <c r="D11" s="308" t="e">
        <f>D10*D9</f>
        <v>#DIV/0!</v>
      </c>
      <c r="E11" s="311" t="s">
        <v>123</v>
      </c>
      <c r="F11" s="309" t="str">
        <f ca="1">OFFSET(Sprachen!A415,0,'START, DÉBUT, INIZIO'!$D$4-1,1,1)</f>
        <v>anrechenbare Betriebskosten</v>
      </c>
    </row>
    <row r="12" spans="1:18" ht="13.5" thickBot="1" x14ac:dyDescent="0.25">
      <c r="A12" s="271"/>
      <c r="B12" s="271"/>
      <c r="C12" s="271"/>
      <c r="D12" s="271"/>
      <c r="E12" s="271"/>
      <c r="F12" s="271"/>
      <c r="G12" s="271"/>
      <c r="H12" s="271"/>
      <c r="I12" s="271"/>
      <c r="J12" s="271"/>
      <c r="K12" s="271"/>
      <c r="L12" s="271"/>
      <c r="M12" s="271"/>
      <c r="N12" s="271"/>
      <c r="O12" s="271"/>
      <c r="P12" s="271"/>
      <c r="Q12" s="271"/>
      <c r="R12" s="271"/>
    </row>
    <row r="13" spans="1:18" ht="26.1" customHeight="1" x14ac:dyDescent="0.2">
      <c r="A13" s="12" t="str">
        <f ca="1">OFFSET(Sprachen!A416,0,'START, DÉBUT, INIZIO'!$D$4-1,1,1)</f>
        <v>Investitionsbedingte Kosten für Energiebewirtschaftung und -verwertung</v>
      </c>
      <c r="B13" s="268"/>
      <c r="C13" s="268"/>
      <c r="D13" s="3"/>
      <c r="E13" s="269"/>
      <c r="F13" s="1" t="str">
        <f ca="1">OFFSET(Sprachen!A412,0,'START, DÉBUT, INIZIO'!$D$4-1,1,1)</f>
        <v>Beschreibung</v>
      </c>
      <c r="G13" s="269"/>
      <c r="I13" s="1"/>
    </row>
    <row r="14" spans="1:18" x14ac:dyDescent="0.2">
      <c r="B14" s="1" t="str">
        <f ca="1">OFFSET(Sprachen!A417,0,'START, DÉBUT, INIZIO'!$D$4-1,1,1)</f>
        <v>Anspruch</v>
      </c>
      <c r="C14" s="306">
        <v>1</v>
      </c>
      <c r="D14" s="3" t="str">
        <f>IF('2 Techn. Angaben &amp; Produktion'!$H$10&gt;=3,"ja","nein")</f>
        <v>nein</v>
      </c>
      <c r="E14" s="269"/>
      <c r="F14" s="900" t="str">
        <f ca="1">OFFSET(Sprachen!A423,0,'START, DÉBUT, INIZIO'!$D$4-1,1,1)</f>
        <v>Anspruch haben nur Anlagen, welche nach der Investition eine mechanische Bruttoleistung &gt; 3 MW haben.</v>
      </c>
      <c r="G14" s="900"/>
      <c r="H14" s="900"/>
      <c r="I14" s="900"/>
      <c r="J14" s="900"/>
      <c r="K14" s="900"/>
      <c r="L14" s="900"/>
      <c r="M14" s="900"/>
      <c r="N14" s="900"/>
      <c r="O14" s="900"/>
      <c r="P14" s="900"/>
      <c r="Q14" s="900"/>
      <c r="R14" s="900"/>
    </row>
    <row r="15" spans="1:18" x14ac:dyDescent="0.2">
      <c r="B15" s="1">
        <f>$A$3</f>
        <v>0</v>
      </c>
      <c r="C15" s="307">
        <f>C14+1</f>
        <v>2</v>
      </c>
      <c r="D15" s="313"/>
      <c r="E15" s="1" t="s">
        <v>132</v>
      </c>
      <c r="F15" s="900" t="str">
        <f ca="1">OFFSET(Sprachen!A424,0,'START, DÉBUT, INIZIO'!$D$4-1,1,1)</f>
        <v>EnFV Anhang 6.1, Ziffer 4.1.1, Buchstabe c</v>
      </c>
      <c r="G15" s="900"/>
      <c r="H15" s="900"/>
      <c r="I15" s="900"/>
      <c r="J15" s="900"/>
      <c r="K15" s="900"/>
      <c r="L15" s="900"/>
      <c r="M15" s="900"/>
      <c r="N15" s="900"/>
      <c r="O15" s="900"/>
      <c r="P15" s="900"/>
      <c r="Q15" s="900"/>
      <c r="R15" s="900"/>
    </row>
    <row r="16" spans="1:18" x14ac:dyDescent="0.2">
      <c r="B16" s="1" t="str">
        <f ca="1">OFFSET(Sprachen!A418,0,'START, DÉBUT, INIZIO'!$D$4-1,1,1)</f>
        <v>Durch Investition bedingte Mehrproduktion netto</v>
      </c>
      <c r="C16" s="307">
        <f>C15+1</f>
        <v>3</v>
      </c>
      <c r="D16" s="6">
        <f>'2 Techn. Angaben &amp; Produktion'!$R$55</f>
        <v>0</v>
      </c>
      <c r="E16" s="1" t="s">
        <v>9</v>
      </c>
    </row>
    <row r="17" spans="1:18" ht="19.5" customHeight="1" x14ac:dyDescent="0.2">
      <c r="C17" s="5">
        <f>C16+1</f>
        <v>4</v>
      </c>
      <c r="D17" s="308">
        <f>D15*10*D16</f>
        <v>0</v>
      </c>
      <c r="E17" s="309" t="s">
        <v>123</v>
      </c>
      <c r="F17" s="309" t="str">
        <f ca="1">OFFSET(Sprachen!A425,0,'START, DÉBUT, INIZIO'!$D$4-1,1,1)</f>
        <v>anrechenbare Energiebewirtschaftungs- und Verwertungskosten</v>
      </c>
    </row>
    <row r="18" spans="1:18" ht="13.5" thickBot="1" x14ac:dyDescent="0.25">
      <c r="A18" s="271"/>
      <c r="B18" s="271"/>
      <c r="C18" s="271"/>
      <c r="D18" s="271"/>
      <c r="E18" s="271"/>
      <c r="F18" s="271"/>
      <c r="G18" s="271"/>
      <c r="H18" s="271"/>
      <c r="I18" s="271"/>
      <c r="J18" s="271"/>
      <c r="K18" s="271"/>
      <c r="L18" s="271"/>
      <c r="M18" s="271"/>
      <c r="N18" s="271"/>
      <c r="O18" s="271"/>
      <c r="P18" s="271"/>
      <c r="Q18" s="271"/>
      <c r="R18" s="271"/>
    </row>
    <row r="19" spans="1:18" ht="26.1" customHeight="1" x14ac:dyDescent="0.2">
      <c r="A19" s="12" t="str">
        <f ca="1">OFFSET(Sprachen!A426,0,'START, DÉBUT, INIZIO'!$D$4-1,1,1)</f>
        <v>Investitionsbedingte Kosten aus Abgaben und Leistungen an das Gemeinwesen</v>
      </c>
      <c r="B19" s="268"/>
      <c r="C19" s="268"/>
      <c r="D19" s="3"/>
      <c r="E19" s="318"/>
      <c r="F19" s="1"/>
      <c r="G19" s="269"/>
      <c r="I19" s="1"/>
    </row>
    <row r="21" spans="1:18" x14ac:dyDescent="0.2">
      <c r="B21" t="str">
        <f ca="1">OFFSET(Sprachen!A427,0,'START, DÉBUT, INIZIO'!$D$4-1,1,1)</f>
        <v>Durchschnittliche Abgaben und Leistungen vor Investition</v>
      </c>
      <c r="C21" s="5">
        <v>1</v>
      </c>
      <c r="D21" s="792"/>
      <c r="E21" s="310" t="s">
        <v>123</v>
      </c>
    </row>
    <row r="22" spans="1:18" x14ac:dyDescent="0.2">
      <c r="B22" t="str">
        <f ca="1">B10</f>
        <v>Prozentzsatz Mehrerlös/Gesamterlös Day Ahed</v>
      </c>
      <c r="C22" s="5">
        <f>C21+1</f>
        <v>2</v>
      </c>
      <c r="D22" s="413" t="e">
        <f>D10</f>
        <v>#DIV/0!</v>
      </c>
    </row>
    <row r="23" spans="1:18" ht="18.75" customHeight="1" x14ac:dyDescent="0.2">
      <c r="C23" s="5">
        <f>C22+1</f>
        <v>3</v>
      </c>
      <c r="D23" s="308" t="e">
        <f>D21*D22</f>
        <v>#DIV/0!</v>
      </c>
      <c r="E23" s="309" t="s">
        <v>123</v>
      </c>
      <c r="F23" s="309" t="str">
        <f ca="1">OFFSET(Sprachen!A429,0,'START, DÉBUT, INIZIO'!$D$4-1,1,1)</f>
        <v>Anrechenbare Abgaben und Leistungen an das Gemeinwesen</v>
      </c>
    </row>
    <row r="24" spans="1:18" ht="13.5" thickBot="1" x14ac:dyDescent="0.25">
      <c r="A24" s="271"/>
      <c r="B24" s="271"/>
      <c r="C24" s="271"/>
      <c r="D24" s="271"/>
      <c r="E24" s="271"/>
      <c r="F24" s="271"/>
      <c r="G24" s="271"/>
      <c r="H24" s="271"/>
      <c r="I24" s="271"/>
      <c r="J24" s="271"/>
      <c r="K24" s="271"/>
      <c r="L24" s="271"/>
      <c r="M24" s="271"/>
      <c r="N24" s="271"/>
      <c r="O24" s="271"/>
      <c r="P24" s="271"/>
      <c r="Q24" s="271"/>
      <c r="R24" s="271"/>
    </row>
    <row r="25" spans="1:18" ht="26.1" customHeight="1" x14ac:dyDescent="0.2">
      <c r="A25" s="12" t="str">
        <f ca="1">OFFSET(Sprachen!A430,0,'START, DÉBUT, INIZIO'!$D$4-1,1,1)</f>
        <v>Kosten für die Elektrizität für Zubringerpumpen</v>
      </c>
      <c r="B25" s="1"/>
      <c r="C25" s="1"/>
      <c r="D25" s="3"/>
      <c r="E25" s="900"/>
      <c r="F25" s="900"/>
      <c r="G25" s="900"/>
      <c r="H25" s="900"/>
      <c r="I25" s="900"/>
    </row>
    <row r="26" spans="1:18" ht="39.950000000000003" customHeight="1" x14ac:dyDescent="0.2">
      <c r="A26" s="12"/>
      <c r="B26" s="1"/>
      <c r="C26" s="1"/>
      <c r="D26" s="903" t="str">
        <f ca="1">OFFSET(Sprachen!A431,0,'START, DÉBUT, INIZIO'!$D$4-1,1,1)</f>
        <v>Preis investitionsbedingter Pumpenstrom (unter Annahme Projekt wäre bereits realisiert)</v>
      </c>
      <c r="E26" s="903"/>
      <c r="F26" s="1"/>
      <c r="G26" s="903" t="str">
        <f ca="1">OFFSET(Sprachen!A432,0,'START, DÉBUT, INIZIO'!$D$4-1,1,1)</f>
        <v>Investitionsbedingter Pumpenstrom Erwartungswert</v>
      </c>
      <c r="H26" s="903"/>
      <c r="I26" s="1"/>
      <c r="J26" s="903" t="str">
        <f ca="1">OFFSET(Sprachen!A433,0,'START, DÉBUT, INIZIO'!$D$4-1,1,1)</f>
        <v>Kosten investitionsbedingter Pumpenstrom (unter Annahme Projekt wäre bereits realisiert)</v>
      </c>
      <c r="K26" s="903"/>
    </row>
    <row r="27" spans="1:18" ht="13.5" thickBot="1" x14ac:dyDescent="0.25">
      <c r="A27" s="268"/>
      <c r="B27" s="1"/>
      <c r="C27" s="307"/>
      <c r="D27" s="271"/>
      <c r="E27" s="275" t="s">
        <v>10</v>
      </c>
      <c r="G27" s="417"/>
      <c r="H27" s="342" t="s">
        <v>9</v>
      </c>
      <c r="J27" s="271"/>
      <c r="K27" s="418" t="s">
        <v>8</v>
      </c>
    </row>
    <row r="28" spans="1:18" x14ac:dyDescent="0.2">
      <c r="A28" s="268"/>
      <c r="B28" s="3"/>
      <c r="C28" s="306">
        <v>1</v>
      </c>
      <c r="D28" s="3" t="str">
        <f>'4.2'!D37</f>
        <v>10. 2024</v>
      </c>
      <c r="E28" s="793"/>
      <c r="G28" s="3" t="str">
        <f>D28</f>
        <v>10. 2024</v>
      </c>
      <c r="H28" s="277">
        <f>'2 Techn. Angaben &amp; Produktion'!R95</f>
        <v>0</v>
      </c>
      <c r="J28" s="3" t="str">
        <f>D28</f>
        <v>10. 2024</v>
      </c>
      <c r="K28" s="316">
        <f t="shared" ref="K28:K39" si="1">E28*H28</f>
        <v>0</v>
      </c>
    </row>
    <row r="29" spans="1:18" x14ac:dyDescent="0.2">
      <c r="A29" s="268"/>
      <c r="C29" s="307">
        <f t="shared" ref="C29:C40" si="2">C28+1</f>
        <v>2</v>
      </c>
      <c r="D29" s="3" t="str">
        <f>'4.2'!D38</f>
        <v>11. 2024</v>
      </c>
      <c r="E29" s="794"/>
      <c r="G29" s="3" t="str">
        <f t="shared" ref="G29:G39" si="3">D29</f>
        <v>11. 2024</v>
      </c>
      <c r="H29" s="274">
        <f>'2 Techn. Angaben &amp; Produktion'!R96</f>
        <v>0</v>
      </c>
      <c r="J29" s="3" t="str">
        <f t="shared" ref="J29:J39" si="4">D29</f>
        <v>11. 2024</v>
      </c>
      <c r="K29" s="315">
        <f t="shared" si="1"/>
        <v>0</v>
      </c>
    </row>
    <row r="30" spans="1:18" ht="13.5" thickBot="1" x14ac:dyDescent="0.25">
      <c r="A30" s="268"/>
      <c r="C30" s="307">
        <f t="shared" si="2"/>
        <v>3</v>
      </c>
      <c r="D30" s="275" t="str">
        <f>'4.2'!D39</f>
        <v>12. 2024</v>
      </c>
      <c r="E30" s="795"/>
      <c r="G30" s="314" t="str">
        <f t="shared" si="3"/>
        <v>12. 2024</v>
      </c>
      <c r="H30" s="276">
        <f>'2 Techn. Angaben &amp; Produktion'!R97</f>
        <v>0</v>
      </c>
      <c r="J30" s="275" t="str">
        <f t="shared" si="4"/>
        <v>12. 2024</v>
      </c>
      <c r="K30" s="317">
        <f t="shared" si="1"/>
        <v>0</v>
      </c>
    </row>
    <row r="31" spans="1:18" x14ac:dyDescent="0.2">
      <c r="A31" s="268"/>
      <c r="B31" s="3"/>
      <c r="C31" s="307">
        <f t="shared" si="2"/>
        <v>4</v>
      </c>
      <c r="D31" s="3" t="str">
        <f>'4.2'!D40</f>
        <v>1. 2025</v>
      </c>
      <c r="E31" s="793"/>
      <c r="G31" s="3" t="str">
        <f t="shared" si="3"/>
        <v>1. 2025</v>
      </c>
      <c r="H31" s="277">
        <f>'2 Techn. Angaben &amp; Produktion'!R98</f>
        <v>0</v>
      </c>
      <c r="J31" s="3" t="str">
        <f t="shared" si="4"/>
        <v>1. 2025</v>
      </c>
      <c r="K31" s="316">
        <f t="shared" si="1"/>
        <v>0</v>
      </c>
    </row>
    <row r="32" spans="1:18" x14ac:dyDescent="0.2">
      <c r="A32" s="268"/>
      <c r="B32" s="1"/>
      <c r="C32" s="307">
        <f t="shared" si="2"/>
        <v>5</v>
      </c>
      <c r="D32" s="3" t="str">
        <f>'4.2'!D41</f>
        <v>2. 2025</v>
      </c>
      <c r="E32" s="794"/>
      <c r="G32" s="3" t="str">
        <f t="shared" si="3"/>
        <v>2. 2025</v>
      </c>
      <c r="H32" s="274">
        <f>'2 Techn. Angaben &amp; Produktion'!R99</f>
        <v>0</v>
      </c>
      <c r="J32" s="3" t="str">
        <f t="shared" si="4"/>
        <v>2. 2025</v>
      </c>
      <c r="K32" s="315">
        <f t="shared" si="1"/>
        <v>0</v>
      </c>
    </row>
    <row r="33" spans="1:18" ht="13.5" thickBot="1" x14ac:dyDescent="0.25">
      <c r="A33" s="268"/>
      <c r="B33" s="1"/>
      <c r="C33" s="307">
        <f t="shared" si="2"/>
        <v>6</v>
      </c>
      <c r="D33" s="275" t="str">
        <f>'4.2'!D42</f>
        <v>3. 2025</v>
      </c>
      <c r="E33" s="795"/>
      <c r="G33" s="314" t="str">
        <f t="shared" si="3"/>
        <v>3. 2025</v>
      </c>
      <c r="H33" s="276">
        <f>'2 Techn. Angaben &amp; Produktion'!R100</f>
        <v>0</v>
      </c>
      <c r="J33" s="275" t="str">
        <f t="shared" si="4"/>
        <v>3. 2025</v>
      </c>
      <c r="K33" s="317">
        <f t="shared" si="1"/>
        <v>0</v>
      </c>
    </row>
    <row r="34" spans="1:18" x14ac:dyDescent="0.2">
      <c r="A34" s="268"/>
      <c r="B34" s="1"/>
      <c r="C34" s="307">
        <f t="shared" si="2"/>
        <v>7</v>
      </c>
      <c r="D34" s="3" t="str">
        <f>'4.2'!D43</f>
        <v>4. 2025</v>
      </c>
      <c r="E34" s="793"/>
      <c r="G34" s="3" t="str">
        <f t="shared" si="3"/>
        <v>4. 2025</v>
      </c>
      <c r="H34" s="277">
        <f>'2 Techn. Angaben &amp; Produktion'!R101</f>
        <v>0</v>
      </c>
      <c r="J34" s="3" t="str">
        <f t="shared" si="4"/>
        <v>4. 2025</v>
      </c>
      <c r="K34" s="316">
        <f t="shared" si="1"/>
        <v>0</v>
      </c>
    </row>
    <row r="35" spans="1:18" x14ac:dyDescent="0.2">
      <c r="A35" s="268"/>
      <c r="B35" s="1"/>
      <c r="C35" s="307">
        <f t="shared" si="2"/>
        <v>8</v>
      </c>
      <c r="D35" s="3" t="str">
        <f>'4.2'!D44</f>
        <v>5. 2025</v>
      </c>
      <c r="E35" s="794"/>
      <c r="G35" s="3" t="str">
        <f t="shared" si="3"/>
        <v>5. 2025</v>
      </c>
      <c r="H35" s="274">
        <f>'2 Techn. Angaben &amp; Produktion'!R102</f>
        <v>0</v>
      </c>
      <c r="J35" s="3" t="str">
        <f t="shared" si="4"/>
        <v>5. 2025</v>
      </c>
      <c r="K35" s="315">
        <f t="shared" si="1"/>
        <v>0</v>
      </c>
    </row>
    <row r="36" spans="1:18" ht="13.5" thickBot="1" x14ac:dyDescent="0.25">
      <c r="A36" s="268"/>
      <c r="B36" s="1"/>
      <c r="C36" s="307">
        <f t="shared" si="2"/>
        <v>9</v>
      </c>
      <c r="D36" s="275" t="str">
        <f>'4.2'!D45</f>
        <v>6. 2025</v>
      </c>
      <c r="E36" s="795"/>
      <c r="G36" s="314" t="str">
        <f t="shared" si="3"/>
        <v>6. 2025</v>
      </c>
      <c r="H36" s="276">
        <f>'2 Techn. Angaben &amp; Produktion'!R103</f>
        <v>0</v>
      </c>
      <c r="J36" s="275" t="str">
        <f t="shared" si="4"/>
        <v>6. 2025</v>
      </c>
      <c r="K36" s="317">
        <f t="shared" si="1"/>
        <v>0</v>
      </c>
    </row>
    <row r="37" spans="1:18" x14ac:dyDescent="0.2">
      <c r="A37" s="268"/>
      <c r="B37" s="1"/>
      <c r="C37" s="307">
        <f t="shared" si="2"/>
        <v>10</v>
      </c>
      <c r="D37" s="3" t="str">
        <f>'4.2'!D46</f>
        <v>7. 2025</v>
      </c>
      <c r="E37" s="793"/>
      <c r="G37" s="3" t="str">
        <f t="shared" si="3"/>
        <v>7. 2025</v>
      </c>
      <c r="H37" s="277">
        <f>'2 Techn. Angaben &amp; Produktion'!R104</f>
        <v>0</v>
      </c>
      <c r="J37" s="3" t="str">
        <f t="shared" si="4"/>
        <v>7. 2025</v>
      </c>
      <c r="K37" s="316">
        <f t="shared" si="1"/>
        <v>0</v>
      </c>
    </row>
    <row r="38" spans="1:18" x14ac:dyDescent="0.2">
      <c r="A38" s="268"/>
      <c r="B38" s="1"/>
      <c r="C38" s="307">
        <f t="shared" si="2"/>
        <v>11</v>
      </c>
      <c r="D38" s="3" t="str">
        <f>'4.2'!D47</f>
        <v>8. 2025</v>
      </c>
      <c r="E38" s="794"/>
      <c r="G38" s="3" t="str">
        <f t="shared" si="3"/>
        <v>8. 2025</v>
      </c>
      <c r="H38" s="274">
        <f>'2 Techn. Angaben &amp; Produktion'!R105</f>
        <v>0</v>
      </c>
      <c r="J38" s="3" t="str">
        <f t="shared" si="4"/>
        <v>8. 2025</v>
      </c>
      <c r="K38" s="315">
        <f t="shared" si="1"/>
        <v>0</v>
      </c>
    </row>
    <row r="39" spans="1:18" ht="13.5" thickBot="1" x14ac:dyDescent="0.25">
      <c r="A39" s="268"/>
      <c r="B39" s="1"/>
      <c r="C39" s="307">
        <f t="shared" si="2"/>
        <v>12</v>
      </c>
      <c r="D39" s="275" t="str">
        <f>'4.2'!D48</f>
        <v>9. 2025</v>
      </c>
      <c r="E39" s="795"/>
      <c r="G39" s="314" t="str">
        <f t="shared" si="3"/>
        <v>9. 2025</v>
      </c>
      <c r="H39" s="276">
        <f>'2 Techn. Angaben &amp; Produktion'!R106</f>
        <v>0</v>
      </c>
      <c r="J39" s="275" t="str">
        <f t="shared" si="4"/>
        <v>9. 2025</v>
      </c>
      <c r="K39" s="317">
        <f t="shared" si="1"/>
        <v>0</v>
      </c>
    </row>
    <row r="40" spans="1:18" ht="19.5" customHeight="1" x14ac:dyDescent="0.2">
      <c r="C40" s="5">
        <f t="shared" si="2"/>
        <v>13</v>
      </c>
      <c r="D40" s="308"/>
      <c r="E40" s="309"/>
      <c r="F40" s="309"/>
      <c r="H40" s="6">
        <f>SUM(H28:H39)</f>
        <v>0</v>
      </c>
      <c r="I40" s="8"/>
      <c r="J40" s="8"/>
      <c r="K40" s="308">
        <f>SUM(K28:K39)</f>
        <v>0</v>
      </c>
      <c r="L40" s="309" t="s">
        <v>123</v>
      </c>
      <c r="M40" s="312" t="str">
        <f ca="1">OFFSET(Sprachen!A434,0,'START, DÉBUT, INIZIO'!$D$4-1,1,1)</f>
        <v>Mehrkrosten für die Elektrizität für Zubringerpumpen</v>
      </c>
    </row>
    <row r="41" spans="1:18" ht="13.5" thickBot="1" x14ac:dyDescent="0.25">
      <c r="A41" s="271"/>
      <c r="B41" s="271"/>
      <c r="C41" s="271"/>
      <c r="D41" s="271"/>
      <c r="E41" s="271"/>
      <c r="F41" s="271"/>
      <c r="G41" s="271"/>
      <c r="H41" s="271"/>
      <c r="I41" s="271"/>
      <c r="J41" s="271"/>
      <c r="K41" s="271"/>
      <c r="L41" s="271"/>
      <c r="M41" s="271"/>
      <c r="N41" s="271"/>
      <c r="O41" s="271"/>
      <c r="P41" s="271"/>
      <c r="Q41" s="271"/>
      <c r="R41" s="271"/>
    </row>
    <row r="42" spans="1:18" ht="26.1" customHeight="1" x14ac:dyDescent="0.2">
      <c r="A42" s="12" t="str">
        <f ca="1">OFFSET(Sprachen!A435,0,'START, DÉBUT, INIZIO'!$D$4-1,1,1)</f>
        <v>Kosten für die Elektrizität für Umwälzpumpen</v>
      </c>
      <c r="B42" s="1"/>
      <c r="C42" s="1"/>
      <c r="D42" s="3"/>
      <c r="E42" s="900"/>
      <c r="F42" s="900"/>
      <c r="G42" s="900"/>
      <c r="H42" s="900"/>
      <c r="I42" s="900"/>
    </row>
    <row r="43" spans="1:18" ht="40.5" customHeight="1" x14ac:dyDescent="0.2">
      <c r="A43" s="12"/>
      <c r="B43" s="1"/>
      <c r="C43" s="1"/>
      <c r="D43" s="903" t="str">
        <f ca="1">D26</f>
        <v>Preis investitionsbedingter Pumpenstrom (unter Annahme Projekt wäre bereits realisiert)</v>
      </c>
      <c r="E43" s="903"/>
      <c r="F43" s="1"/>
      <c r="G43" s="903" t="str">
        <f ca="1">G26</f>
        <v>Investitionsbedingter Pumpenstrom Erwartungswert</v>
      </c>
      <c r="H43" s="903"/>
      <c r="I43" s="1"/>
      <c r="J43" s="903" t="str">
        <f ca="1">J26</f>
        <v>Kosten investitionsbedingter Pumpenstrom (unter Annahme Projekt wäre bereits realisiert)</v>
      </c>
      <c r="K43" s="903"/>
    </row>
    <row r="44" spans="1:18" ht="13.5" thickBot="1" x14ac:dyDescent="0.25">
      <c r="A44" s="268"/>
      <c r="B44" s="1"/>
      <c r="C44" s="307"/>
      <c r="D44" s="271"/>
      <c r="E44" s="275" t="s">
        <v>10</v>
      </c>
      <c r="G44" s="417"/>
      <c r="H44" s="342" t="s">
        <v>9</v>
      </c>
      <c r="J44" s="271"/>
      <c r="K44" s="418" t="s">
        <v>8</v>
      </c>
    </row>
    <row r="45" spans="1:18" x14ac:dyDescent="0.2">
      <c r="A45" s="268"/>
      <c r="B45" s="3"/>
      <c r="C45" s="306">
        <v>1</v>
      </c>
      <c r="D45" s="3" t="str">
        <f t="shared" ref="D45:D56" si="5">D28</f>
        <v>10. 2024</v>
      </c>
      <c r="E45" s="793"/>
      <c r="G45" s="3" t="str">
        <f t="shared" ref="G45:G56" si="6">G28</f>
        <v>10. 2024</v>
      </c>
      <c r="H45" s="277">
        <f>'2 Techn. Angaben &amp; Produktion'!R121</f>
        <v>0</v>
      </c>
      <c r="J45" s="3" t="str">
        <f t="shared" ref="J45:J56" si="7">J28</f>
        <v>10. 2024</v>
      </c>
      <c r="K45" s="316">
        <f t="shared" ref="K45:K56" si="8">E45*H45</f>
        <v>0</v>
      </c>
    </row>
    <row r="46" spans="1:18" x14ac:dyDescent="0.2">
      <c r="A46" s="268"/>
      <c r="C46" s="307">
        <f t="shared" ref="C46:C57" si="9">C45+1</f>
        <v>2</v>
      </c>
      <c r="D46" s="3" t="str">
        <f t="shared" si="5"/>
        <v>11. 2024</v>
      </c>
      <c r="E46" s="794"/>
      <c r="G46" s="3" t="str">
        <f t="shared" si="6"/>
        <v>11. 2024</v>
      </c>
      <c r="H46" s="274">
        <f>'2 Techn. Angaben &amp; Produktion'!R122</f>
        <v>0</v>
      </c>
      <c r="J46" s="3" t="str">
        <f t="shared" si="7"/>
        <v>11. 2024</v>
      </c>
      <c r="K46" s="315">
        <f t="shared" si="8"/>
        <v>0</v>
      </c>
    </row>
    <row r="47" spans="1:18" ht="13.5" thickBot="1" x14ac:dyDescent="0.25">
      <c r="A47" s="268"/>
      <c r="C47" s="307">
        <f t="shared" si="9"/>
        <v>3</v>
      </c>
      <c r="D47" s="275" t="str">
        <f t="shared" si="5"/>
        <v>12. 2024</v>
      </c>
      <c r="E47" s="795"/>
      <c r="G47" s="314" t="str">
        <f t="shared" si="6"/>
        <v>12. 2024</v>
      </c>
      <c r="H47" s="276">
        <f>'2 Techn. Angaben &amp; Produktion'!R123</f>
        <v>0</v>
      </c>
      <c r="J47" s="275" t="str">
        <f t="shared" si="7"/>
        <v>12. 2024</v>
      </c>
      <c r="K47" s="317">
        <f t="shared" si="8"/>
        <v>0</v>
      </c>
    </row>
    <row r="48" spans="1:18" x14ac:dyDescent="0.2">
      <c r="A48" s="268"/>
      <c r="B48" s="3"/>
      <c r="C48" s="307">
        <f t="shared" si="9"/>
        <v>4</v>
      </c>
      <c r="D48" s="3" t="str">
        <f t="shared" si="5"/>
        <v>1. 2025</v>
      </c>
      <c r="E48" s="793"/>
      <c r="G48" s="3" t="str">
        <f t="shared" si="6"/>
        <v>1. 2025</v>
      </c>
      <c r="H48" s="277">
        <f>'2 Techn. Angaben &amp; Produktion'!R124</f>
        <v>0</v>
      </c>
      <c r="J48" s="3" t="str">
        <f t="shared" si="7"/>
        <v>1. 2025</v>
      </c>
      <c r="K48" s="316">
        <f t="shared" si="8"/>
        <v>0</v>
      </c>
    </row>
    <row r="49" spans="1:18" x14ac:dyDescent="0.2">
      <c r="A49" s="268"/>
      <c r="B49" s="1"/>
      <c r="C49" s="307">
        <f t="shared" si="9"/>
        <v>5</v>
      </c>
      <c r="D49" s="3" t="str">
        <f t="shared" si="5"/>
        <v>2. 2025</v>
      </c>
      <c r="E49" s="794"/>
      <c r="G49" s="3" t="str">
        <f t="shared" si="6"/>
        <v>2. 2025</v>
      </c>
      <c r="H49" s="274">
        <f>'2 Techn. Angaben &amp; Produktion'!R125</f>
        <v>0</v>
      </c>
      <c r="J49" s="3" t="str">
        <f t="shared" si="7"/>
        <v>2. 2025</v>
      </c>
      <c r="K49" s="315">
        <f t="shared" si="8"/>
        <v>0</v>
      </c>
    </row>
    <row r="50" spans="1:18" ht="13.5" thickBot="1" x14ac:dyDescent="0.25">
      <c r="A50" s="268"/>
      <c r="B50" s="1"/>
      <c r="C50" s="307">
        <f t="shared" si="9"/>
        <v>6</v>
      </c>
      <c r="D50" s="275" t="str">
        <f t="shared" si="5"/>
        <v>3. 2025</v>
      </c>
      <c r="E50" s="795"/>
      <c r="G50" s="314" t="str">
        <f t="shared" si="6"/>
        <v>3. 2025</v>
      </c>
      <c r="H50" s="276">
        <f>'2 Techn. Angaben &amp; Produktion'!R126</f>
        <v>0</v>
      </c>
      <c r="J50" s="275" t="str">
        <f t="shared" si="7"/>
        <v>3. 2025</v>
      </c>
      <c r="K50" s="317">
        <f t="shared" si="8"/>
        <v>0</v>
      </c>
    </row>
    <row r="51" spans="1:18" x14ac:dyDescent="0.2">
      <c r="A51" s="268"/>
      <c r="B51" s="1"/>
      <c r="C51" s="307">
        <f t="shared" si="9"/>
        <v>7</v>
      </c>
      <c r="D51" s="3" t="str">
        <f t="shared" si="5"/>
        <v>4. 2025</v>
      </c>
      <c r="E51" s="793"/>
      <c r="G51" s="3" t="str">
        <f t="shared" si="6"/>
        <v>4. 2025</v>
      </c>
      <c r="H51" s="277">
        <f>'2 Techn. Angaben &amp; Produktion'!R127</f>
        <v>0</v>
      </c>
      <c r="J51" s="3" t="str">
        <f t="shared" si="7"/>
        <v>4. 2025</v>
      </c>
      <c r="K51" s="316">
        <f t="shared" si="8"/>
        <v>0</v>
      </c>
    </row>
    <row r="52" spans="1:18" x14ac:dyDescent="0.2">
      <c r="A52" s="268"/>
      <c r="B52" s="1"/>
      <c r="C52" s="307">
        <f t="shared" si="9"/>
        <v>8</v>
      </c>
      <c r="D52" s="3" t="str">
        <f t="shared" si="5"/>
        <v>5. 2025</v>
      </c>
      <c r="E52" s="794"/>
      <c r="G52" s="3" t="str">
        <f t="shared" si="6"/>
        <v>5. 2025</v>
      </c>
      <c r="H52" s="274">
        <f>'2 Techn. Angaben &amp; Produktion'!R128</f>
        <v>0</v>
      </c>
      <c r="J52" s="3" t="str">
        <f t="shared" si="7"/>
        <v>5. 2025</v>
      </c>
      <c r="K52" s="315">
        <f t="shared" si="8"/>
        <v>0</v>
      </c>
    </row>
    <row r="53" spans="1:18" ht="13.5" thickBot="1" x14ac:dyDescent="0.25">
      <c r="A53" s="268"/>
      <c r="B53" s="1"/>
      <c r="C53" s="307">
        <f t="shared" si="9"/>
        <v>9</v>
      </c>
      <c r="D53" s="275" t="str">
        <f t="shared" si="5"/>
        <v>6. 2025</v>
      </c>
      <c r="E53" s="795"/>
      <c r="G53" s="314" t="str">
        <f t="shared" si="6"/>
        <v>6. 2025</v>
      </c>
      <c r="H53" s="276">
        <f>'2 Techn. Angaben &amp; Produktion'!R129</f>
        <v>0</v>
      </c>
      <c r="J53" s="275" t="str">
        <f t="shared" si="7"/>
        <v>6. 2025</v>
      </c>
      <c r="K53" s="317">
        <f t="shared" si="8"/>
        <v>0</v>
      </c>
    </row>
    <row r="54" spans="1:18" x14ac:dyDescent="0.2">
      <c r="A54" s="268"/>
      <c r="B54" s="1"/>
      <c r="C54" s="307">
        <f t="shared" si="9"/>
        <v>10</v>
      </c>
      <c r="D54" s="3" t="str">
        <f t="shared" si="5"/>
        <v>7. 2025</v>
      </c>
      <c r="E54" s="793"/>
      <c r="G54" s="3" t="str">
        <f t="shared" si="6"/>
        <v>7. 2025</v>
      </c>
      <c r="H54" s="277">
        <f>'2 Techn. Angaben &amp; Produktion'!R130</f>
        <v>0</v>
      </c>
      <c r="J54" s="3" t="str">
        <f t="shared" si="7"/>
        <v>7. 2025</v>
      </c>
      <c r="K54" s="316">
        <f t="shared" si="8"/>
        <v>0</v>
      </c>
    </row>
    <row r="55" spans="1:18" x14ac:dyDescent="0.2">
      <c r="A55" s="268"/>
      <c r="B55" s="1"/>
      <c r="C55" s="307">
        <f t="shared" si="9"/>
        <v>11</v>
      </c>
      <c r="D55" s="3" t="str">
        <f t="shared" si="5"/>
        <v>8. 2025</v>
      </c>
      <c r="E55" s="794"/>
      <c r="G55" s="3" t="str">
        <f t="shared" si="6"/>
        <v>8. 2025</v>
      </c>
      <c r="H55" s="274">
        <f>'2 Techn. Angaben &amp; Produktion'!R131</f>
        <v>0</v>
      </c>
      <c r="J55" s="3" t="str">
        <f t="shared" si="7"/>
        <v>8. 2025</v>
      </c>
      <c r="K55" s="315">
        <f t="shared" si="8"/>
        <v>0</v>
      </c>
    </row>
    <row r="56" spans="1:18" ht="13.5" thickBot="1" x14ac:dyDescent="0.25">
      <c r="A56" s="268"/>
      <c r="B56" s="1"/>
      <c r="C56" s="307">
        <f t="shared" si="9"/>
        <v>12</v>
      </c>
      <c r="D56" s="275" t="str">
        <f t="shared" si="5"/>
        <v>9. 2025</v>
      </c>
      <c r="E56" s="795"/>
      <c r="G56" s="314" t="str">
        <f t="shared" si="6"/>
        <v>9. 2025</v>
      </c>
      <c r="H56" s="276">
        <f>'2 Techn. Angaben &amp; Produktion'!R132</f>
        <v>0</v>
      </c>
      <c r="J56" s="275" t="str">
        <f t="shared" si="7"/>
        <v>9. 2025</v>
      </c>
      <c r="K56" s="317">
        <f t="shared" si="8"/>
        <v>0</v>
      </c>
    </row>
    <row r="57" spans="1:18" ht="19.5" customHeight="1" x14ac:dyDescent="0.2">
      <c r="C57" s="5">
        <f t="shared" si="9"/>
        <v>13</v>
      </c>
      <c r="D57" s="308"/>
      <c r="E57" s="309"/>
      <c r="F57" s="309"/>
      <c r="H57" s="6">
        <f>SUM(H45:H56)</f>
        <v>0</v>
      </c>
      <c r="I57" s="8"/>
      <c r="J57" s="8"/>
      <c r="K57" s="308">
        <f>SUM(K45:K56)</f>
        <v>0</v>
      </c>
      <c r="L57" s="309" t="s">
        <v>123</v>
      </c>
      <c r="M57" s="312" t="str">
        <f ca="1">OFFSET(Sprachen!A436,0,'START, DÉBUT, INIZIO'!$D$4-1,1,1)</f>
        <v>Mehrkosten für die Elektrizität für Umwälzpumpen</v>
      </c>
    </row>
    <row r="58" spans="1:18" ht="13.5" thickBot="1" x14ac:dyDescent="0.25">
      <c r="A58" s="271"/>
      <c r="B58" s="271"/>
      <c r="C58" s="271"/>
      <c r="D58" s="271"/>
      <c r="E58" s="271"/>
      <c r="F58" s="271"/>
      <c r="G58" s="271"/>
      <c r="H58" s="271"/>
      <c r="I58" s="271"/>
      <c r="J58" s="271"/>
      <c r="K58" s="271"/>
      <c r="L58" s="271"/>
      <c r="M58" s="271"/>
      <c r="N58" s="271"/>
      <c r="O58" s="271"/>
      <c r="P58" s="271"/>
      <c r="Q58" s="271"/>
      <c r="R58" s="271"/>
    </row>
    <row r="59" spans="1:18" ht="26.1" customHeight="1" x14ac:dyDescent="0.2">
      <c r="A59" s="12" t="str">
        <f ca="1">OFFSET(Sprachen!A437,0,'START, DÉBUT, INIZIO'!$D$4-1,1,1)</f>
        <v>Investitionsbedingte Kosten für Steuern</v>
      </c>
      <c r="B59" s="1"/>
      <c r="C59" s="1"/>
      <c r="D59" s="3"/>
      <c r="E59" s="900"/>
      <c r="F59" s="900"/>
      <c r="G59" s="900"/>
      <c r="H59" s="900"/>
      <c r="I59" s="900"/>
    </row>
    <row r="60" spans="1:18" x14ac:dyDescent="0.2">
      <c r="B60" t="str">
        <f ca="1">OFFSET(Sprachen!A438,0,'START, DÉBUT, INIZIO'!$D$4-1,1,1)</f>
        <v>Abschreibungen (anr. Investition / investitionsgew. Nutzungsdauer)</v>
      </c>
      <c r="D60" s="306">
        <v>1</v>
      </c>
      <c r="E60" s="6">
        <f>'3 Investitionskosten'!$N$13/'3 Investitionskosten'!$U$13</f>
        <v>0</v>
      </c>
      <c r="F60" s="310" t="s">
        <v>123</v>
      </c>
    </row>
    <row r="61" spans="1:18" x14ac:dyDescent="0.2">
      <c r="B61" t="str">
        <f ca="1">OFFSET(Sprachen!A439,0,'START, DÉBUT, INIZIO'!$D$4-1,1,1)</f>
        <v>Kapitalkosten (EK + FK)</v>
      </c>
      <c r="D61" s="307">
        <f>D60+1</f>
        <v>2</v>
      </c>
      <c r="E61" s="6">
        <f>D6-E60</f>
        <v>0</v>
      </c>
      <c r="F61" s="310" t="s">
        <v>123</v>
      </c>
    </row>
    <row r="62" spans="1:18" x14ac:dyDescent="0.2">
      <c r="B62" t="str">
        <f ca="1">OFFSET(Sprachen!A440,0,'START, DÉBUT, INIZIO'!$D$4-1,1,1)</f>
        <v>Eigenkapitalkosten</v>
      </c>
      <c r="D62" s="307">
        <f>D61+1</f>
        <v>3</v>
      </c>
      <c r="E62" s="6">
        <f>E61*Vorgaben!$D$10</f>
        <v>0</v>
      </c>
      <c r="F62" s="310" t="s">
        <v>123</v>
      </c>
    </row>
    <row r="63" spans="1:18" x14ac:dyDescent="0.2">
      <c r="B63" t="str">
        <f ca="1">OFFSET(Sprachen!A441,0,'START, DÉBUT, INIZIO'!$D$4-1,1,1)</f>
        <v>Fremdkapitalkosten</v>
      </c>
      <c r="D63" s="307">
        <f>D62+1</f>
        <v>4</v>
      </c>
      <c r="E63" s="6">
        <f>E61*Vorgaben!$D$11</f>
        <v>0</v>
      </c>
      <c r="F63" s="310" t="s">
        <v>123</v>
      </c>
    </row>
    <row r="64" spans="1:18" x14ac:dyDescent="0.2">
      <c r="B64" s="270" t="str">
        <f ca="1">'4.2'!B73</f>
        <v>Eigenkapitalkosten vor Steuern</v>
      </c>
      <c r="D64" s="307">
        <f t="shared" ref="D64:D65" si="10">D63+1</f>
        <v>5</v>
      </c>
      <c r="E64" s="6">
        <f>E62/(1-Vorgaben!$C$7)</f>
        <v>0</v>
      </c>
      <c r="F64" s="310" t="s">
        <v>123</v>
      </c>
    </row>
    <row r="65" spans="1:18" ht="27" customHeight="1" x14ac:dyDescent="0.2">
      <c r="B65" s="320" t="str">
        <f ca="1">'4.2'!B74</f>
        <v>Steuern EK</v>
      </c>
      <c r="D65" s="5">
        <f t="shared" si="10"/>
        <v>6</v>
      </c>
      <c r="E65" s="308">
        <f>E64/(1)*Vorgaben!$C$7</f>
        <v>0</v>
      </c>
      <c r="F65" s="311" t="s">
        <v>123</v>
      </c>
      <c r="G65" s="312" t="str">
        <f ca="1">'4.2'!G74</f>
        <v>Kosten EK Steuern</v>
      </c>
    </row>
    <row r="66" spans="1:18" ht="13.5" thickBot="1" x14ac:dyDescent="0.25">
      <c r="A66" s="271"/>
      <c r="B66" s="271"/>
      <c r="C66" s="271"/>
      <c r="D66" s="271"/>
      <c r="E66" s="271"/>
      <c r="F66" s="271"/>
      <c r="G66" s="271"/>
      <c r="H66" s="271"/>
      <c r="I66" s="271"/>
      <c r="J66" s="271"/>
      <c r="K66" s="271"/>
      <c r="L66" s="271"/>
      <c r="M66" s="271"/>
      <c r="N66" s="271"/>
      <c r="O66" s="271"/>
      <c r="P66" s="271"/>
      <c r="Q66" s="271"/>
      <c r="R66" s="271"/>
    </row>
    <row r="67" spans="1:18" ht="26.1" customHeight="1" x14ac:dyDescent="0.2">
      <c r="A67" s="12" t="str">
        <f ca="1">OFFSET(Sprachen!A445,0,'START, DÉBUT, INIZIO'!$D$4-1,1,1)</f>
        <v>Erlös aus Day-Ahead-Verkauf</v>
      </c>
      <c r="B67" s="1"/>
      <c r="C67" s="1"/>
      <c r="D67" s="3"/>
      <c r="E67" s="900"/>
      <c r="F67" s="900"/>
      <c r="G67" s="900"/>
      <c r="H67" s="900"/>
      <c r="I67" s="900"/>
    </row>
    <row r="68" spans="1:18" ht="60.75" customHeight="1" x14ac:dyDescent="0.2">
      <c r="D68" s="903" t="str">
        <f ca="1">OFFSET(Sprachen!A447,0,'START, DÉBUT, INIZIO'!$D$4-1,1,1)</f>
        <v>Vor Investition (bestehende Anlage). Ergebnis der Optimierung mit gemittelten Zuflüssen der letzten 5 hydro-logischen Jahre</v>
      </c>
      <c r="E68" s="903"/>
      <c r="G68" s="903" t="str">
        <f ca="1">OFFSET(Sprachen!A448,0,'START, DÉBUT, INIZIO'!$D$4-1,1,1)</f>
        <v>Nach Investition (veränderte Anlage) Ergebnis der Optimierung mit gemittelten Zuflüssen der letzten 5 hydro-logischen Jahre</v>
      </c>
      <c r="H68" s="903"/>
      <c r="K68" s="320" t="str">
        <f ca="1">OFFSET(Sprachen!A449,0,'START, DÉBUT, INIZIO'!$D$4-1,1,1)</f>
        <v>Mehrerlös aus Investition</v>
      </c>
    </row>
    <row r="69" spans="1:18" ht="13.5" thickBot="1" x14ac:dyDescent="0.25">
      <c r="B69" s="13"/>
      <c r="C69" s="307"/>
      <c r="D69" s="271"/>
      <c r="E69" s="275" t="s">
        <v>8</v>
      </c>
      <c r="G69" s="271"/>
      <c r="H69" s="275" t="s">
        <v>8</v>
      </c>
      <c r="J69" s="271"/>
      <c r="K69" s="275" t="s">
        <v>8</v>
      </c>
    </row>
    <row r="70" spans="1:18" x14ac:dyDescent="0.2">
      <c r="B70" s="350"/>
      <c r="C70" s="306">
        <v>1</v>
      </c>
      <c r="D70" s="3" t="str">
        <f>'4.2'!D79</f>
        <v>10. 2020-2024</v>
      </c>
      <c r="E70" s="793"/>
      <c r="G70" s="3" t="str">
        <f t="shared" ref="G70:G81" si="11">G45</f>
        <v>10. 2024</v>
      </c>
      <c r="H70" s="793"/>
      <c r="J70" s="3" t="str">
        <f t="shared" ref="J70:J81" si="12">J45</f>
        <v>10. 2024</v>
      </c>
      <c r="K70" s="321">
        <f>H70-E70</f>
        <v>0</v>
      </c>
    </row>
    <row r="71" spans="1:18" x14ac:dyDescent="0.2">
      <c r="B71" s="350"/>
      <c r="C71" s="307">
        <f t="shared" ref="C71:C82" si="13">C70+1</f>
        <v>2</v>
      </c>
      <c r="D71" s="3" t="str">
        <f>'4.2'!D80</f>
        <v>11. 2020-2024</v>
      </c>
      <c r="E71" s="794"/>
      <c r="G71" s="3" t="str">
        <f t="shared" si="11"/>
        <v>11. 2024</v>
      </c>
      <c r="H71" s="794"/>
      <c r="J71" s="3" t="str">
        <f t="shared" si="12"/>
        <v>11. 2024</v>
      </c>
      <c r="K71" s="245">
        <f t="shared" ref="K71:K81" si="14">H71-E71</f>
        <v>0</v>
      </c>
    </row>
    <row r="72" spans="1:18" ht="13.5" thickBot="1" x14ac:dyDescent="0.25">
      <c r="B72" s="350"/>
      <c r="C72" s="307">
        <f t="shared" si="13"/>
        <v>3</v>
      </c>
      <c r="D72" s="275" t="str">
        <f>'4.2'!D81</f>
        <v>12. 2020-2024</v>
      </c>
      <c r="E72" s="795"/>
      <c r="G72" s="275" t="str">
        <f t="shared" si="11"/>
        <v>12. 2024</v>
      </c>
      <c r="H72" s="795"/>
      <c r="J72" s="314" t="str">
        <f t="shared" si="12"/>
        <v>12. 2024</v>
      </c>
      <c r="K72" s="302">
        <f t="shared" si="14"/>
        <v>0</v>
      </c>
    </row>
    <row r="73" spans="1:18" x14ac:dyDescent="0.2">
      <c r="B73" s="350"/>
      <c r="C73" s="307">
        <f t="shared" si="13"/>
        <v>4</v>
      </c>
      <c r="D73" s="3" t="str">
        <f>'4.2'!D82</f>
        <v>1. 2021-2025</v>
      </c>
      <c r="E73" s="793"/>
      <c r="G73" s="3" t="str">
        <f t="shared" si="11"/>
        <v>1. 2025</v>
      </c>
      <c r="H73" s="793"/>
      <c r="J73" s="3" t="str">
        <f t="shared" si="12"/>
        <v>1. 2025</v>
      </c>
      <c r="K73" s="321">
        <f t="shared" si="14"/>
        <v>0</v>
      </c>
    </row>
    <row r="74" spans="1:18" x14ac:dyDescent="0.2">
      <c r="B74" s="350"/>
      <c r="C74" s="307">
        <f t="shared" si="13"/>
        <v>5</v>
      </c>
      <c r="D74" s="3" t="str">
        <f>'4.2'!D83</f>
        <v>2. 2021-2025</v>
      </c>
      <c r="E74" s="794"/>
      <c r="G74" s="3" t="str">
        <f t="shared" si="11"/>
        <v>2. 2025</v>
      </c>
      <c r="H74" s="794"/>
      <c r="J74" s="3" t="str">
        <f t="shared" si="12"/>
        <v>2. 2025</v>
      </c>
      <c r="K74" s="245">
        <f t="shared" si="14"/>
        <v>0</v>
      </c>
    </row>
    <row r="75" spans="1:18" ht="13.5" thickBot="1" x14ac:dyDescent="0.25">
      <c r="B75" s="350"/>
      <c r="C75" s="307">
        <f t="shared" si="13"/>
        <v>6</v>
      </c>
      <c r="D75" s="275" t="str">
        <f>'4.2'!D84</f>
        <v>3. 2021-2025</v>
      </c>
      <c r="E75" s="795"/>
      <c r="G75" s="275" t="str">
        <f t="shared" si="11"/>
        <v>3. 2025</v>
      </c>
      <c r="H75" s="795"/>
      <c r="J75" s="314" t="str">
        <f t="shared" si="12"/>
        <v>3. 2025</v>
      </c>
      <c r="K75" s="302">
        <f t="shared" si="14"/>
        <v>0</v>
      </c>
    </row>
    <row r="76" spans="1:18" x14ac:dyDescent="0.2">
      <c r="B76" s="350"/>
      <c r="C76" s="307">
        <f t="shared" si="13"/>
        <v>7</v>
      </c>
      <c r="D76" s="3" t="str">
        <f>'4.2'!D85</f>
        <v>4. 2021-2025</v>
      </c>
      <c r="E76" s="793"/>
      <c r="G76" s="3" t="str">
        <f t="shared" si="11"/>
        <v>4. 2025</v>
      </c>
      <c r="H76" s="793"/>
      <c r="J76" s="3" t="str">
        <f t="shared" si="12"/>
        <v>4. 2025</v>
      </c>
      <c r="K76" s="321">
        <f t="shared" si="14"/>
        <v>0</v>
      </c>
    </row>
    <row r="77" spans="1:18" x14ac:dyDescent="0.2">
      <c r="B77" s="350"/>
      <c r="C77" s="307">
        <f t="shared" si="13"/>
        <v>8</v>
      </c>
      <c r="D77" s="3" t="str">
        <f>'4.2'!D86</f>
        <v>5. 2021-2025</v>
      </c>
      <c r="E77" s="794"/>
      <c r="G77" s="3" t="str">
        <f t="shared" si="11"/>
        <v>5. 2025</v>
      </c>
      <c r="H77" s="794"/>
      <c r="J77" s="3" t="str">
        <f t="shared" si="12"/>
        <v>5. 2025</v>
      </c>
      <c r="K77" s="245">
        <f t="shared" si="14"/>
        <v>0</v>
      </c>
    </row>
    <row r="78" spans="1:18" ht="13.5" thickBot="1" x14ac:dyDescent="0.25">
      <c r="B78" s="350"/>
      <c r="C78" s="307">
        <f t="shared" si="13"/>
        <v>9</v>
      </c>
      <c r="D78" s="275" t="str">
        <f>'4.2'!D87</f>
        <v>6. 2021-2025</v>
      </c>
      <c r="E78" s="795"/>
      <c r="G78" s="275" t="str">
        <f t="shared" si="11"/>
        <v>6. 2025</v>
      </c>
      <c r="H78" s="795"/>
      <c r="J78" s="314" t="str">
        <f t="shared" si="12"/>
        <v>6. 2025</v>
      </c>
      <c r="K78" s="302">
        <f t="shared" si="14"/>
        <v>0</v>
      </c>
    </row>
    <row r="79" spans="1:18" x14ac:dyDescent="0.2">
      <c r="B79" s="350"/>
      <c r="C79" s="307">
        <f t="shared" si="13"/>
        <v>10</v>
      </c>
      <c r="D79" s="3" t="str">
        <f>'4.2'!D88</f>
        <v>7. 2021-2025</v>
      </c>
      <c r="E79" s="793"/>
      <c r="G79" s="3" t="str">
        <f t="shared" si="11"/>
        <v>7. 2025</v>
      </c>
      <c r="H79" s="793"/>
      <c r="J79" s="3" t="str">
        <f t="shared" si="12"/>
        <v>7. 2025</v>
      </c>
      <c r="K79" s="321">
        <f t="shared" si="14"/>
        <v>0</v>
      </c>
    </row>
    <row r="80" spans="1:18" x14ac:dyDescent="0.2">
      <c r="B80" s="350"/>
      <c r="C80" s="307">
        <f t="shared" si="13"/>
        <v>11</v>
      </c>
      <c r="D80" s="3" t="str">
        <f>'4.2'!D89</f>
        <v>8. 2021-2025</v>
      </c>
      <c r="E80" s="794"/>
      <c r="G80" s="3" t="str">
        <f t="shared" si="11"/>
        <v>8. 2025</v>
      </c>
      <c r="H80" s="794"/>
      <c r="J80" s="3" t="str">
        <f t="shared" si="12"/>
        <v>8. 2025</v>
      </c>
      <c r="K80" s="245">
        <f t="shared" si="14"/>
        <v>0</v>
      </c>
    </row>
    <row r="81" spans="2:20" ht="13.5" thickBot="1" x14ac:dyDescent="0.25">
      <c r="B81" s="350"/>
      <c r="C81" s="307">
        <f t="shared" si="13"/>
        <v>12</v>
      </c>
      <c r="D81" s="275" t="str">
        <f>'4.2'!D90</f>
        <v>9. 2021-2025</v>
      </c>
      <c r="E81" s="795"/>
      <c r="G81" s="275" t="str">
        <f t="shared" si="11"/>
        <v>9. 2025</v>
      </c>
      <c r="H81" s="795"/>
      <c r="J81" s="314" t="str">
        <f t="shared" si="12"/>
        <v>9. 2025</v>
      </c>
      <c r="K81" s="302">
        <f t="shared" si="14"/>
        <v>0</v>
      </c>
    </row>
    <row r="82" spans="2:20" ht="21.75" customHeight="1" x14ac:dyDescent="0.2">
      <c r="C82" s="5">
        <f t="shared" si="13"/>
        <v>13</v>
      </c>
      <c r="E82" s="6">
        <f>SUM(E70:E81)</f>
        <v>0</v>
      </c>
      <c r="H82" s="6">
        <f>SUM(H70:H81)</f>
        <v>0</v>
      </c>
      <c r="K82" s="308">
        <f>SUM(K70:K81)</f>
        <v>0</v>
      </c>
      <c r="L82" s="312" t="s">
        <v>123</v>
      </c>
      <c r="M82" s="312" t="str">
        <f ca="1">OFFSET(Sprachen!A451,0,'START, DÉBUT, INIZIO'!$D$4-1,1,1)</f>
        <v>Mehrerlös aus  Verkauf zum Referenzmarktpreis</v>
      </c>
    </row>
    <row r="86" spans="2:20" x14ac:dyDescent="0.2">
      <c r="D86" s="906" t="str">
        <f ca="1">OFFSET(Sprachen!A452,0,'START, DÉBUT, INIZIO'!$D$4-1,1,1)</f>
        <v>Mit Produktion ohne neue Speicherkapazität</v>
      </c>
      <c r="E86" s="907"/>
      <c r="F86" s="907"/>
      <c r="G86" s="907"/>
      <c r="H86" s="907"/>
      <c r="I86" s="907"/>
      <c r="J86" s="907"/>
      <c r="K86" s="908"/>
      <c r="M86" s="906" t="str">
        <f ca="1">OFFSET(Sprachen!A453,0,'START, DÉBUT, INIZIO'!$D$4-1,1,1)</f>
        <v>Mit Produktion inkl. neuer Speicherkapazität</v>
      </c>
      <c r="N86" s="907"/>
      <c r="O86" s="907"/>
      <c r="P86" s="907"/>
      <c r="Q86" s="907"/>
      <c r="R86" s="907"/>
      <c r="S86" s="907"/>
      <c r="T86" s="908"/>
    </row>
    <row r="87" spans="2:20" x14ac:dyDescent="0.2">
      <c r="D87" s="13"/>
      <c r="E87" s="13"/>
      <c r="F87" s="13"/>
      <c r="G87" s="13"/>
      <c r="H87" s="13"/>
      <c r="I87" s="13"/>
      <c r="J87" s="13"/>
      <c r="K87" s="13"/>
      <c r="M87" s="13"/>
      <c r="N87" s="13"/>
      <c r="O87" s="13"/>
      <c r="P87" s="13"/>
      <c r="Q87" s="13"/>
      <c r="R87" s="13"/>
      <c r="S87" s="13"/>
      <c r="T87" s="13"/>
    </row>
    <row r="88" spans="2:20" ht="27.75" customHeight="1" x14ac:dyDescent="0.2">
      <c r="D88" s="910" t="str">
        <f ca="1">OFFSET(Sprachen!A454,0,'START, DÉBUT, INIZIO'!$D$4-1,1,1)</f>
        <v>Vor Investition (bestehende Anlage)</v>
      </c>
      <c r="E88" s="910"/>
      <c r="F88" s="13"/>
      <c r="G88" s="909" t="str">
        <f ca="1">OFFSET(Sprachen!A455,0,'START, DÉBUT, INIZIO'!$D$4-1,1,1)</f>
        <v>Nach Investition (veränderte Anlage)</v>
      </c>
      <c r="H88" s="909"/>
      <c r="I88" s="13"/>
      <c r="J88" s="13"/>
      <c r="K88" s="13" t="str">
        <f ca="1">OFFSET(Sprachen!A456,0,'START, DÉBUT, INIZIO'!$D$4-1,1,1)</f>
        <v>Mehrerlös</v>
      </c>
      <c r="M88" s="910" t="str">
        <f ca="1">D88</f>
        <v>Vor Investition (bestehende Anlage)</v>
      </c>
      <c r="N88" s="910"/>
      <c r="O88" s="13"/>
      <c r="P88" s="911" t="str">
        <f ca="1">G88</f>
        <v>Nach Investition (veränderte Anlage)</v>
      </c>
      <c r="Q88" s="911"/>
      <c r="R88" s="13"/>
      <c r="S88" s="13"/>
      <c r="T88" s="13" t="str">
        <f ca="1">K88</f>
        <v>Mehrerlös</v>
      </c>
    </row>
    <row r="89" spans="2:20" ht="18" customHeight="1" thickBot="1" x14ac:dyDescent="0.25">
      <c r="D89" s="271"/>
      <c r="E89" s="275" t="s">
        <v>10</v>
      </c>
      <c r="G89" s="271"/>
      <c r="H89" s="275" t="s">
        <v>10</v>
      </c>
      <c r="J89" s="271"/>
      <c r="K89" s="275" t="s">
        <v>10</v>
      </c>
      <c r="M89" s="271"/>
      <c r="N89" s="275" t="s">
        <v>10</v>
      </c>
      <c r="P89" s="271"/>
      <c r="Q89" s="275" t="s">
        <v>10</v>
      </c>
      <c r="S89" s="271"/>
      <c r="T89" s="275" t="s">
        <v>10</v>
      </c>
    </row>
    <row r="90" spans="2:20" x14ac:dyDescent="0.2">
      <c r="C90" s="306">
        <v>1</v>
      </c>
      <c r="D90" s="3" t="str">
        <f>D70</f>
        <v>10. 2020-2024</v>
      </c>
      <c r="E90" s="322">
        <f>IFERROR(E79/'2 Techn. Angaben &amp; Produktion'!F40,0)</f>
        <v>0</v>
      </c>
      <c r="G90" s="3" t="str">
        <f t="shared" ref="G90:G101" si="15">G70</f>
        <v>10. 2024</v>
      </c>
      <c r="H90" s="322">
        <f>IFERROR(H70/'2 Techn. Angaben &amp; Produktion'!N40,0)</f>
        <v>0</v>
      </c>
      <c r="J90" s="3" t="str">
        <f t="shared" ref="J90:J101" si="16">J70</f>
        <v>10. 2024</v>
      </c>
      <c r="K90" s="322">
        <f>IFERROR(K70/'2 Techn. Angaben &amp; Produktion'!R40,0)</f>
        <v>0</v>
      </c>
      <c r="M90" s="3" t="str">
        <f>D90</f>
        <v>10. 2020-2024</v>
      </c>
      <c r="N90" s="322">
        <f>IFERROR(E70/'2 Techn. Angaben &amp; Produktion'!F40,0)</f>
        <v>0</v>
      </c>
      <c r="P90" s="3" t="str">
        <f>G90</f>
        <v>10. 2024</v>
      </c>
      <c r="Q90" s="322">
        <f ca="1">IFERROR(H70/'2 Techn. Angaben &amp; Produktion'!Y40,0)</f>
        <v>0</v>
      </c>
      <c r="S90" s="3" t="str">
        <f>J90</f>
        <v>10. 2024</v>
      </c>
      <c r="T90" s="322">
        <f>IFERROR(K70/'2 Techn. Angaben &amp; Produktion'!AB40,0)</f>
        <v>0</v>
      </c>
    </row>
    <row r="91" spans="2:20" x14ac:dyDescent="0.2">
      <c r="C91" s="307">
        <f t="shared" ref="C91:C102" si="17">C90+1</f>
        <v>2</v>
      </c>
      <c r="D91" s="3" t="str">
        <f t="shared" ref="D91:D101" si="18">D71</f>
        <v>11. 2020-2024</v>
      </c>
      <c r="E91" s="323">
        <f>IFERROR(E80/'2 Techn. Angaben &amp; Produktion'!F41,0)</f>
        <v>0</v>
      </c>
      <c r="G91" s="3" t="str">
        <f t="shared" si="15"/>
        <v>11. 2024</v>
      </c>
      <c r="H91" s="323">
        <f>IFERROR(H71/'2 Techn. Angaben &amp; Produktion'!N41,0)</f>
        <v>0</v>
      </c>
      <c r="J91" s="3" t="str">
        <f t="shared" si="16"/>
        <v>11. 2024</v>
      </c>
      <c r="K91" s="323">
        <f>IFERROR(K71/'2 Techn. Angaben &amp; Produktion'!R41,0)</f>
        <v>0</v>
      </c>
      <c r="M91" s="3" t="str">
        <f t="shared" ref="M91:M101" si="19">D91</f>
        <v>11. 2020-2024</v>
      </c>
      <c r="N91" s="323">
        <f>IFERROR(E71/'2 Techn. Angaben &amp; Produktion'!F41,0)</f>
        <v>0</v>
      </c>
      <c r="P91" s="3" t="str">
        <f t="shared" ref="P91:P101" si="20">G91</f>
        <v>11. 2024</v>
      </c>
      <c r="Q91" s="323">
        <f ca="1">IFERROR(H71/'2 Techn. Angaben &amp; Produktion'!Y41,0)</f>
        <v>0</v>
      </c>
      <c r="S91" s="3" t="str">
        <f t="shared" ref="S91:S101" si="21">J91</f>
        <v>11. 2024</v>
      </c>
      <c r="T91" s="323">
        <f>IFERROR(K71/'2 Techn. Angaben &amp; Produktion'!AB41,0)</f>
        <v>0</v>
      </c>
    </row>
    <row r="92" spans="2:20" ht="13.5" thickBot="1" x14ac:dyDescent="0.25">
      <c r="C92" s="307">
        <f t="shared" si="17"/>
        <v>3</v>
      </c>
      <c r="D92" s="275" t="str">
        <f t="shared" si="18"/>
        <v>12. 2020-2024</v>
      </c>
      <c r="E92" s="324">
        <f>IFERROR(E81/'2 Techn. Angaben &amp; Produktion'!F42,0)</f>
        <v>0</v>
      </c>
      <c r="G92" s="314" t="str">
        <f t="shared" si="15"/>
        <v>12. 2024</v>
      </c>
      <c r="H92" s="324">
        <f>IFERROR(H72/'2 Techn. Angaben &amp; Produktion'!N42,0)</f>
        <v>0</v>
      </c>
      <c r="J92" s="314" t="str">
        <f t="shared" si="16"/>
        <v>12. 2024</v>
      </c>
      <c r="K92" s="324">
        <f>IFERROR(K72/'2 Techn. Angaben &amp; Produktion'!R42,0)</f>
        <v>0</v>
      </c>
      <c r="M92" s="275" t="str">
        <f t="shared" si="19"/>
        <v>12. 2020-2024</v>
      </c>
      <c r="N92" s="324">
        <f>IFERROR(E72/'2 Techn. Angaben &amp; Produktion'!F42,0)</f>
        <v>0</v>
      </c>
      <c r="P92" s="314" t="str">
        <f t="shared" si="20"/>
        <v>12. 2024</v>
      </c>
      <c r="Q92" s="324">
        <f ca="1">IFERROR(H72/'2 Techn. Angaben &amp; Produktion'!Y42,0)</f>
        <v>0</v>
      </c>
      <c r="S92" s="314" t="str">
        <f t="shared" si="21"/>
        <v>12. 2024</v>
      </c>
      <c r="T92" s="324">
        <f>IFERROR(K72/'2 Techn. Angaben &amp; Produktion'!AB42,0)</f>
        <v>0</v>
      </c>
    </row>
    <row r="93" spans="2:20" x14ac:dyDescent="0.2">
      <c r="C93" s="307">
        <f t="shared" si="17"/>
        <v>4</v>
      </c>
      <c r="D93" s="3" t="str">
        <f t="shared" si="18"/>
        <v>1. 2021-2025</v>
      </c>
      <c r="E93" s="322">
        <f>IFERROR(E82/'2 Techn. Angaben &amp; Produktion'!F43,0)</f>
        <v>0</v>
      </c>
      <c r="G93" s="3" t="str">
        <f t="shared" si="15"/>
        <v>1. 2025</v>
      </c>
      <c r="H93" s="322">
        <f>IFERROR(H73/'2 Techn. Angaben &amp; Produktion'!N43,0)</f>
        <v>0</v>
      </c>
      <c r="J93" s="3" t="str">
        <f t="shared" si="16"/>
        <v>1. 2025</v>
      </c>
      <c r="K93" s="322">
        <f>IFERROR(K73/'2 Techn. Angaben &amp; Produktion'!R43,0)</f>
        <v>0</v>
      </c>
      <c r="M93" s="3" t="str">
        <f t="shared" si="19"/>
        <v>1. 2021-2025</v>
      </c>
      <c r="N93" s="322">
        <f>IFERROR(E73/'2 Techn. Angaben &amp; Produktion'!F43,0)</f>
        <v>0</v>
      </c>
      <c r="P93" s="3" t="str">
        <f t="shared" si="20"/>
        <v>1. 2025</v>
      </c>
      <c r="Q93" s="322">
        <f ca="1">IFERROR(H73/'2 Techn. Angaben &amp; Produktion'!Y43,0)</f>
        <v>0</v>
      </c>
      <c r="S93" s="3" t="str">
        <f t="shared" si="21"/>
        <v>1. 2025</v>
      </c>
      <c r="T93" s="322">
        <f>IFERROR(K73/'2 Techn. Angaben &amp; Produktion'!AB43,0)</f>
        <v>0</v>
      </c>
    </row>
    <row r="94" spans="2:20" x14ac:dyDescent="0.2">
      <c r="C94" s="307">
        <f t="shared" si="17"/>
        <v>5</v>
      </c>
      <c r="D94" s="3" t="str">
        <f t="shared" si="18"/>
        <v>2. 2021-2025</v>
      </c>
      <c r="E94" s="323">
        <f>IFERROR(E83/'2 Techn. Angaben &amp; Produktion'!F44,0)</f>
        <v>0</v>
      </c>
      <c r="G94" s="3" t="str">
        <f t="shared" si="15"/>
        <v>2. 2025</v>
      </c>
      <c r="H94" s="323">
        <f>IFERROR(H74/'2 Techn. Angaben &amp; Produktion'!N44,0)</f>
        <v>0</v>
      </c>
      <c r="J94" s="3" t="str">
        <f t="shared" si="16"/>
        <v>2. 2025</v>
      </c>
      <c r="K94" s="323">
        <f>IFERROR(K74/'2 Techn. Angaben &amp; Produktion'!R44,0)</f>
        <v>0</v>
      </c>
      <c r="M94" s="3" t="str">
        <f t="shared" si="19"/>
        <v>2. 2021-2025</v>
      </c>
      <c r="N94" s="323">
        <f>IFERROR(E74/'2 Techn. Angaben &amp; Produktion'!F44,0)</f>
        <v>0</v>
      </c>
      <c r="P94" s="3" t="str">
        <f t="shared" si="20"/>
        <v>2. 2025</v>
      </c>
      <c r="Q94" s="323">
        <f ca="1">IFERROR(H74/'2 Techn. Angaben &amp; Produktion'!Y44,0)</f>
        <v>0</v>
      </c>
      <c r="S94" s="3" t="str">
        <f t="shared" si="21"/>
        <v>2. 2025</v>
      </c>
      <c r="T94" s="323">
        <f>IFERROR(K74/'2 Techn. Angaben &amp; Produktion'!AB44,0)</f>
        <v>0</v>
      </c>
    </row>
    <row r="95" spans="2:20" ht="13.5" thickBot="1" x14ac:dyDescent="0.25">
      <c r="C95" s="307">
        <f t="shared" si="17"/>
        <v>6</v>
      </c>
      <c r="D95" s="275" t="str">
        <f t="shared" si="18"/>
        <v>3. 2021-2025</v>
      </c>
      <c r="E95" s="324">
        <f>IFERROR(E84/'2 Techn. Angaben &amp; Produktion'!F45,0)</f>
        <v>0</v>
      </c>
      <c r="G95" s="314" t="str">
        <f t="shared" si="15"/>
        <v>3. 2025</v>
      </c>
      <c r="H95" s="324">
        <f>IFERROR(H75/'2 Techn. Angaben &amp; Produktion'!N45,0)</f>
        <v>0</v>
      </c>
      <c r="J95" s="314" t="str">
        <f t="shared" si="16"/>
        <v>3. 2025</v>
      </c>
      <c r="K95" s="324">
        <f>IFERROR(K75/'2 Techn. Angaben &amp; Produktion'!R45,0)</f>
        <v>0</v>
      </c>
      <c r="M95" s="275" t="str">
        <f t="shared" si="19"/>
        <v>3. 2021-2025</v>
      </c>
      <c r="N95" s="324">
        <f>IFERROR(E75/'2 Techn. Angaben &amp; Produktion'!F45,0)</f>
        <v>0</v>
      </c>
      <c r="P95" s="314" t="str">
        <f t="shared" si="20"/>
        <v>3. 2025</v>
      </c>
      <c r="Q95" s="324">
        <f ca="1">IFERROR(H75/'2 Techn. Angaben &amp; Produktion'!Y45,0)</f>
        <v>0</v>
      </c>
      <c r="S95" s="314" t="str">
        <f t="shared" si="21"/>
        <v>3. 2025</v>
      </c>
      <c r="T95" s="324">
        <f>IFERROR(K75/'2 Techn. Angaben &amp; Produktion'!AB45,0)</f>
        <v>0</v>
      </c>
    </row>
    <row r="96" spans="2:20" x14ac:dyDescent="0.2">
      <c r="C96" s="307">
        <f t="shared" si="17"/>
        <v>7</v>
      </c>
      <c r="D96" s="3" t="str">
        <f t="shared" si="18"/>
        <v>4. 2021-2025</v>
      </c>
      <c r="E96" s="322">
        <f>IFERROR(E85/'2 Techn. Angaben &amp; Produktion'!F46,0)</f>
        <v>0</v>
      </c>
      <c r="G96" s="3" t="str">
        <f t="shared" si="15"/>
        <v>4. 2025</v>
      </c>
      <c r="H96" s="322">
        <f>IFERROR(H76/'2 Techn. Angaben &amp; Produktion'!N46,0)</f>
        <v>0</v>
      </c>
      <c r="J96" s="3" t="str">
        <f t="shared" si="16"/>
        <v>4. 2025</v>
      </c>
      <c r="K96" s="322">
        <f>IFERROR(K76/'2 Techn. Angaben &amp; Produktion'!R46,0)</f>
        <v>0</v>
      </c>
      <c r="M96" s="3" t="str">
        <f t="shared" si="19"/>
        <v>4. 2021-2025</v>
      </c>
      <c r="N96" s="322">
        <f>IFERROR(E76/'2 Techn. Angaben &amp; Produktion'!F46,0)</f>
        <v>0</v>
      </c>
      <c r="P96" s="3" t="str">
        <f t="shared" si="20"/>
        <v>4. 2025</v>
      </c>
      <c r="Q96" s="322">
        <f>IFERROR(H76/'2 Techn. Angaben &amp; Produktion'!Y46,0)</f>
        <v>0</v>
      </c>
      <c r="S96" s="3" t="str">
        <f t="shared" si="21"/>
        <v>4. 2025</v>
      </c>
      <c r="T96" s="322">
        <f>IFERROR(K76/'2 Techn. Angaben &amp; Produktion'!AB46,0)</f>
        <v>0</v>
      </c>
    </row>
    <row r="97" spans="1:20" x14ac:dyDescent="0.2">
      <c r="C97" s="307">
        <f t="shared" si="17"/>
        <v>8</v>
      </c>
      <c r="D97" s="3" t="str">
        <f t="shared" si="18"/>
        <v>5. 2021-2025</v>
      </c>
      <c r="E97" s="323">
        <f>IFERROR(E86/'2 Techn. Angaben &amp; Produktion'!F47,0)</f>
        <v>0</v>
      </c>
      <c r="G97" s="3" t="str">
        <f t="shared" si="15"/>
        <v>5. 2025</v>
      </c>
      <c r="H97" s="323">
        <f>IFERROR(H77/'2 Techn. Angaben &amp; Produktion'!N47,0)</f>
        <v>0</v>
      </c>
      <c r="J97" s="3" t="str">
        <f t="shared" si="16"/>
        <v>5. 2025</v>
      </c>
      <c r="K97" s="323">
        <f>IFERROR(K77/'2 Techn. Angaben &amp; Produktion'!R47,0)</f>
        <v>0</v>
      </c>
      <c r="M97" s="3" t="str">
        <f t="shared" si="19"/>
        <v>5. 2021-2025</v>
      </c>
      <c r="N97" s="323">
        <f>IFERROR(E77/'2 Techn. Angaben &amp; Produktion'!F47,0)</f>
        <v>0</v>
      </c>
      <c r="P97" s="3" t="str">
        <f t="shared" si="20"/>
        <v>5. 2025</v>
      </c>
      <c r="Q97" s="323">
        <f>IFERROR(H77/'2 Techn. Angaben &amp; Produktion'!Y47,0)</f>
        <v>0</v>
      </c>
      <c r="S97" s="3" t="str">
        <f t="shared" si="21"/>
        <v>5. 2025</v>
      </c>
      <c r="T97" s="323">
        <f>IFERROR(K77/'2 Techn. Angaben &amp; Produktion'!AB47,0)</f>
        <v>0</v>
      </c>
    </row>
    <row r="98" spans="1:20" ht="13.5" thickBot="1" x14ac:dyDescent="0.25">
      <c r="C98" s="307">
        <f t="shared" si="17"/>
        <v>9</v>
      </c>
      <c r="D98" s="275" t="str">
        <f t="shared" si="18"/>
        <v>6. 2021-2025</v>
      </c>
      <c r="E98" s="324">
        <f>IFERROR(E87/'2 Techn. Angaben &amp; Produktion'!F48,0)</f>
        <v>0</v>
      </c>
      <c r="G98" s="314" t="str">
        <f t="shared" si="15"/>
        <v>6. 2025</v>
      </c>
      <c r="H98" s="324">
        <f>IFERROR(H78/'2 Techn. Angaben &amp; Produktion'!N48,0)</f>
        <v>0</v>
      </c>
      <c r="J98" s="314" t="str">
        <f t="shared" si="16"/>
        <v>6. 2025</v>
      </c>
      <c r="K98" s="324">
        <f>IFERROR(K78/'2 Techn. Angaben &amp; Produktion'!R48,0)</f>
        <v>0</v>
      </c>
      <c r="M98" s="275" t="str">
        <f t="shared" si="19"/>
        <v>6. 2021-2025</v>
      </c>
      <c r="N98" s="324">
        <f>IFERROR(E78/'2 Techn. Angaben &amp; Produktion'!F48,0)</f>
        <v>0</v>
      </c>
      <c r="P98" s="314" t="str">
        <f t="shared" si="20"/>
        <v>6. 2025</v>
      </c>
      <c r="Q98" s="324">
        <f>IFERROR(H78/'2 Techn. Angaben &amp; Produktion'!Y48,0)</f>
        <v>0</v>
      </c>
      <c r="S98" s="314" t="str">
        <f t="shared" si="21"/>
        <v>6. 2025</v>
      </c>
      <c r="T98" s="324">
        <f>IFERROR(K78/'2 Techn. Angaben &amp; Produktion'!AB48,0)</f>
        <v>0</v>
      </c>
    </row>
    <row r="99" spans="1:20" x14ac:dyDescent="0.2">
      <c r="C99" s="307">
        <f t="shared" si="17"/>
        <v>10</v>
      </c>
      <c r="D99" s="3" t="str">
        <f t="shared" si="18"/>
        <v>7. 2021-2025</v>
      </c>
      <c r="E99" s="322">
        <f>IFERROR(E88/'2 Techn. Angaben &amp; Produktion'!F49,0)</f>
        <v>0</v>
      </c>
      <c r="G99" s="3" t="str">
        <f t="shared" si="15"/>
        <v>7. 2025</v>
      </c>
      <c r="H99" s="322">
        <f>IFERROR(H79/'2 Techn. Angaben &amp; Produktion'!N49,0)</f>
        <v>0</v>
      </c>
      <c r="J99" s="3" t="str">
        <f t="shared" si="16"/>
        <v>7. 2025</v>
      </c>
      <c r="K99" s="322">
        <f>IFERROR(K79/'2 Techn. Angaben &amp; Produktion'!R49,0)</f>
        <v>0</v>
      </c>
      <c r="M99" s="3" t="str">
        <f t="shared" si="19"/>
        <v>7. 2021-2025</v>
      </c>
      <c r="N99" s="322">
        <f>IFERROR(E79/'2 Techn. Angaben &amp; Produktion'!F49,0)</f>
        <v>0</v>
      </c>
      <c r="P99" s="3" t="str">
        <f t="shared" si="20"/>
        <v>7. 2025</v>
      </c>
      <c r="Q99" s="322">
        <f>IFERROR(H79/'2 Techn. Angaben &amp; Produktion'!Y49,0)</f>
        <v>0</v>
      </c>
      <c r="S99" s="3" t="str">
        <f t="shared" si="21"/>
        <v>7. 2025</v>
      </c>
      <c r="T99" s="322">
        <f>IFERROR(K79/'2 Techn. Angaben &amp; Produktion'!AB49,0)</f>
        <v>0</v>
      </c>
    </row>
    <row r="100" spans="1:20" x14ac:dyDescent="0.2">
      <c r="C100" s="307">
        <f t="shared" si="17"/>
        <v>11</v>
      </c>
      <c r="D100" s="3" t="str">
        <f t="shared" si="18"/>
        <v>8. 2021-2025</v>
      </c>
      <c r="E100" s="323">
        <f>IFERROR(E89/'2 Techn. Angaben &amp; Produktion'!F50,0)</f>
        <v>0</v>
      </c>
      <c r="G100" s="3" t="str">
        <f t="shared" si="15"/>
        <v>8. 2025</v>
      </c>
      <c r="H100" s="323">
        <f>IFERROR(H80/'2 Techn. Angaben &amp; Produktion'!N50,0)</f>
        <v>0</v>
      </c>
      <c r="J100" s="3" t="str">
        <f t="shared" si="16"/>
        <v>8. 2025</v>
      </c>
      <c r="K100" s="323">
        <f>IFERROR(K80/'2 Techn. Angaben &amp; Produktion'!R50,0)</f>
        <v>0</v>
      </c>
      <c r="M100" s="3" t="str">
        <f t="shared" si="19"/>
        <v>8. 2021-2025</v>
      </c>
      <c r="N100" s="323">
        <f>IFERROR(E80/'2 Techn. Angaben &amp; Produktion'!F50,0)</f>
        <v>0</v>
      </c>
      <c r="P100" s="3" t="str">
        <f t="shared" si="20"/>
        <v>8. 2025</v>
      </c>
      <c r="Q100" s="323">
        <f>IFERROR(H80/'2 Techn. Angaben &amp; Produktion'!Y50,0)</f>
        <v>0</v>
      </c>
      <c r="S100" s="3" t="str">
        <f t="shared" si="21"/>
        <v>8. 2025</v>
      </c>
      <c r="T100" s="323">
        <f>IFERROR(K80/'2 Techn. Angaben &amp; Produktion'!AB50,0)</f>
        <v>0</v>
      </c>
    </row>
    <row r="101" spans="1:20" ht="13.5" thickBot="1" x14ac:dyDescent="0.25">
      <c r="C101" s="307">
        <f t="shared" si="17"/>
        <v>12</v>
      </c>
      <c r="D101" s="275" t="str">
        <f t="shared" si="18"/>
        <v>9. 2021-2025</v>
      </c>
      <c r="E101" s="324">
        <f>IFERROR(E90/'2 Techn. Angaben &amp; Produktion'!F51,0)</f>
        <v>0</v>
      </c>
      <c r="G101" s="314" t="str">
        <f t="shared" si="15"/>
        <v>9. 2025</v>
      </c>
      <c r="H101" s="324">
        <f>IFERROR(H81/'2 Techn. Angaben &amp; Produktion'!N51,0)</f>
        <v>0</v>
      </c>
      <c r="J101" s="314" t="str">
        <f t="shared" si="16"/>
        <v>9. 2025</v>
      </c>
      <c r="K101" s="324">
        <f>IFERROR(K81/'2 Techn. Angaben &amp; Produktion'!R51,0)</f>
        <v>0</v>
      </c>
      <c r="M101" s="275" t="str">
        <f t="shared" si="19"/>
        <v>9. 2021-2025</v>
      </c>
      <c r="N101" s="324">
        <f>IFERROR(E81/'2 Techn. Angaben &amp; Produktion'!F51,0)</f>
        <v>0</v>
      </c>
      <c r="P101" s="314" t="str">
        <f t="shared" si="20"/>
        <v>9. 2025</v>
      </c>
      <c r="Q101" s="324">
        <f>IFERROR(H81/'2 Techn. Angaben &amp; Produktion'!Y51,0)</f>
        <v>0</v>
      </c>
      <c r="S101" s="314" t="str">
        <f t="shared" si="21"/>
        <v>9. 2025</v>
      </c>
      <c r="T101" s="324">
        <f>IFERROR(K81/'2 Techn. Angaben &amp; Produktion'!AB51,0)</f>
        <v>0</v>
      </c>
    </row>
    <row r="102" spans="1:20" ht="21" customHeight="1" x14ac:dyDescent="0.2">
      <c r="C102" s="5">
        <f t="shared" si="17"/>
        <v>13</v>
      </c>
      <c r="E102" s="325">
        <f>IFERROR(E91/'2 Techn. Angaben &amp; Produktion'!F55,0)</f>
        <v>0</v>
      </c>
      <c r="H102" s="325">
        <f>IFERROR(H82/'2 Techn. Angaben &amp; Produktion'!N55,0)</f>
        <v>0</v>
      </c>
      <c r="K102" s="325">
        <f>IFERROR(K82/'2 Techn. Angaben &amp; Produktion'!R55,0)</f>
        <v>0</v>
      </c>
      <c r="N102" s="325">
        <f>IFERROR(E82/'2 Techn. Angaben &amp; Produktion'!F55,0)</f>
        <v>0</v>
      </c>
      <c r="Q102" s="325">
        <f ca="1">IFERROR(H82/'2 Techn. Angaben &amp; Produktion'!Y55,0)</f>
        <v>0</v>
      </c>
      <c r="T102" s="325">
        <f>IFERROR(K82/'2 Techn. Angaben &amp; Produktion'!AB55,0)</f>
        <v>0</v>
      </c>
    </row>
    <row r="103" spans="1:20" x14ac:dyDescent="0.2">
      <c r="C103" s="5"/>
      <c r="E103" s="325"/>
      <c r="H103" s="325"/>
      <c r="K103" s="325"/>
      <c r="N103" s="325"/>
      <c r="Q103" s="325"/>
      <c r="T103" s="325"/>
    </row>
    <row r="104" spans="1:20" x14ac:dyDescent="0.2">
      <c r="C104" s="5"/>
      <c r="E104" s="325"/>
      <c r="H104" s="325"/>
      <c r="K104" s="325"/>
      <c r="N104" s="325"/>
      <c r="Q104" s="325"/>
      <c r="T104" s="325"/>
    </row>
    <row r="105" spans="1:20" x14ac:dyDescent="0.2">
      <c r="C105" s="5"/>
      <c r="E105" s="325"/>
      <c r="H105" s="325"/>
      <c r="K105" s="325"/>
      <c r="N105" s="325"/>
      <c r="Q105" s="325"/>
      <c r="T105" s="325"/>
    </row>
    <row r="106" spans="1:20" x14ac:dyDescent="0.2">
      <c r="C106" s="5"/>
      <c r="E106" s="325"/>
      <c r="H106" s="325"/>
      <c r="K106" s="325"/>
      <c r="N106" s="325"/>
      <c r="Q106" s="325"/>
      <c r="T106" s="325"/>
    </row>
    <row r="107" spans="1:20" x14ac:dyDescent="0.2">
      <c r="C107" s="5"/>
      <c r="E107" s="325"/>
      <c r="H107" s="325"/>
      <c r="K107" s="325"/>
      <c r="N107" s="325"/>
      <c r="Q107" s="325"/>
      <c r="T107" s="325"/>
    </row>
    <row r="108" spans="1:20" ht="13.5" thickBot="1" x14ac:dyDescent="0.25">
      <c r="A108" s="271"/>
      <c r="B108" s="271"/>
      <c r="C108" s="271"/>
      <c r="D108" s="271"/>
      <c r="E108" s="271"/>
      <c r="F108" s="271"/>
      <c r="G108" s="271"/>
      <c r="H108" s="271"/>
      <c r="I108" s="271"/>
      <c r="J108" s="271"/>
      <c r="K108" s="271"/>
      <c r="L108" s="271"/>
      <c r="M108" s="271"/>
      <c r="N108" s="271"/>
      <c r="O108" s="271"/>
      <c r="P108" s="271"/>
      <c r="Q108" s="271"/>
      <c r="R108" s="271"/>
    </row>
    <row r="109" spans="1:20" ht="26.1" customHeight="1" x14ac:dyDescent="0.2">
      <c r="A109" s="12" t="str">
        <f ca="1">OFFSET(Sprachen!A457,0,'START, DÉBUT, INIZIO'!$D$4-1,1,1)</f>
        <v>Erlös aus Absicherung am Terminmarkt</v>
      </c>
      <c r="B109" s="1"/>
      <c r="C109" s="1"/>
      <c r="D109" s="3"/>
      <c r="E109" s="900"/>
      <c r="F109" s="900"/>
      <c r="G109" s="900"/>
      <c r="H109" s="900"/>
      <c r="I109" s="900"/>
    </row>
    <row r="110" spans="1:20" ht="25.5" x14ac:dyDescent="0.2">
      <c r="E110" s="407" t="str">
        <f ca="1">OFFSET(Sprachen!A458,0,'START, DÉBUT, INIZIO'!$D$4-1,1,1)</f>
        <v>vor Investition (5-J-Mittelwert)</v>
      </c>
      <c r="H110" s="407" t="str">
        <f ca="1">OFFSET(Sprachen!A459,0,'START, DÉBUT, INIZIO'!$D$4-1,1,1)</f>
        <v xml:space="preserve">nach Investition (Erwartungswert) </v>
      </c>
    </row>
    <row r="111" spans="1:20" x14ac:dyDescent="0.2">
      <c r="B111" s="1" t="str">
        <f ca="1">OFFSET(Sprachen!A460,0,'START, DÉBUT, INIZIO'!$D$4-1,1,1)</f>
        <v>Nettoproduktion</v>
      </c>
      <c r="D111" s="306">
        <v>1</v>
      </c>
      <c r="E111" s="6">
        <f>'2 Techn. Angaben &amp; Produktion'!F55</f>
        <v>0</v>
      </c>
      <c r="F111" s="1" t="s">
        <v>148</v>
      </c>
      <c r="H111" s="6">
        <f>'2 Techn. Angaben &amp; Produktion'!N55</f>
        <v>0</v>
      </c>
      <c r="I111" s="1" t="s">
        <v>148</v>
      </c>
    </row>
    <row r="112" spans="1:20" x14ac:dyDescent="0.2">
      <c r="B112" s="1" t="str">
        <f ca="1">OFFSET(Sprachen!A461,0,'START, DÉBUT, INIZIO'!$D$4-1,1,1)</f>
        <v>Ersatz-/Einstau-/Austauschenergie</v>
      </c>
      <c r="D112" s="307">
        <f t="shared" ref="D112:D123" si="22">D111+1</f>
        <v>2</v>
      </c>
      <c r="E112" s="794"/>
      <c r="F112" s="1" t="s">
        <v>148</v>
      </c>
      <c r="H112" s="794"/>
      <c r="I112" s="1" t="s">
        <v>148</v>
      </c>
    </row>
    <row r="113" spans="1:18" x14ac:dyDescent="0.2">
      <c r="B113" s="1" t="str">
        <f ca="1">OFFSET(Sprachen!A462,0,'START, DÉBUT, INIZIO'!$D$4-1,1,1)</f>
        <v>Umwälzproduktion</v>
      </c>
      <c r="D113" s="307">
        <f t="shared" si="22"/>
        <v>3</v>
      </c>
      <c r="E113" s="794"/>
      <c r="F113" s="1" t="s">
        <v>148</v>
      </c>
      <c r="H113" s="794"/>
      <c r="I113" s="1" t="s">
        <v>148</v>
      </c>
      <c r="K113" s="8">
        <f>H111-E111</f>
        <v>0</v>
      </c>
    </row>
    <row r="114" spans="1:18" x14ac:dyDescent="0.2">
      <c r="B114" s="1" t="str">
        <f ca="1">OFFSET(Sprachen!A463,0,'START, DÉBUT, INIZIO'!$D$4-1,1,1)</f>
        <v>Konzessionsenergie</v>
      </c>
      <c r="D114" s="307">
        <f t="shared" si="22"/>
        <v>4</v>
      </c>
      <c r="E114" s="794"/>
      <c r="F114" s="1" t="s">
        <v>148</v>
      </c>
      <c r="H114" s="794"/>
      <c r="I114" s="1" t="s">
        <v>148</v>
      </c>
      <c r="K114">
        <f>K113*H121</f>
        <v>0</v>
      </c>
    </row>
    <row r="115" spans="1:18" x14ac:dyDescent="0.2">
      <c r="B115" s="1" t="str">
        <f ca="1">OFFSET(Sprachen!A464,0,'START, DÉBUT, INIZIO'!$D$4-1,1,1)</f>
        <v>Erwartungswert der abzusichernden Produktion</v>
      </c>
      <c r="D115" s="307">
        <f t="shared" si="22"/>
        <v>5</v>
      </c>
      <c r="E115" s="6">
        <f>E111-E112-E113-E114</f>
        <v>0</v>
      </c>
      <c r="F115" s="1" t="s">
        <v>148</v>
      </c>
      <c r="H115" s="6">
        <f>H111-H112-H113-H114</f>
        <v>0</v>
      </c>
      <c r="I115" s="1" t="s">
        <v>148</v>
      </c>
    </row>
    <row r="116" spans="1:18" x14ac:dyDescent="0.2">
      <c r="B116" s="1" t="str">
        <f ca="1">OFFSET(Sprachen!A465,0,'START, DÉBUT, INIZIO'!$D$4-1,1,1)</f>
        <v>Abzusichernder Anteil</v>
      </c>
      <c r="D116" s="307">
        <f t="shared" si="22"/>
        <v>6</v>
      </c>
      <c r="E116" s="326">
        <f>Vorgaben!$C$6</f>
        <v>0.8</v>
      </c>
      <c r="H116" s="326">
        <f>Vorgaben!$C$6</f>
        <v>0.8</v>
      </c>
    </row>
    <row r="117" spans="1:18" x14ac:dyDescent="0.2">
      <c r="B117" s="1" t="str">
        <f ca="1">OFFSET(Sprachen!A466,0,'START, DÉBUT, INIZIO'!$D$4-1,1,1)</f>
        <v>Abzusichernde Produktion</v>
      </c>
      <c r="D117" s="307">
        <f t="shared" si="22"/>
        <v>7</v>
      </c>
      <c r="E117" s="6">
        <f>E115*E116</f>
        <v>0</v>
      </c>
      <c r="F117" s="1" t="s">
        <v>148</v>
      </c>
      <c r="H117" s="6">
        <f>H115*H116</f>
        <v>0</v>
      </c>
      <c r="I117" s="1" t="s">
        <v>148</v>
      </c>
    </row>
    <row r="118" spans="1:18" x14ac:dyDescent="0.2">
      <c r="B118" s="1"/>
      <c r="D118" s="307">
        <f t="shared" si="22"/>
        <v>8</v>
      </c>
    </row>
    <row r="119" spans="1:18" x14ac:dyDescent="0.2">
      <c r="B119" s="1" t="str">
        <f ca="1">OFFSET(Sprachen!A467,0,'START, DÉBUT, INIZIO'!$D$4-1,1,1)</f>
        <v>Durchschnittlicher Absicherungspreis Terminmarkt</v>
      </c>
      <c r="D119" s="307">
        <f t="shared" si="22"/>
        <v>9</v>
      </c>
      <c r="E119" s="327">
        <f>Vorgaben!$J$69</f>
        <v>122.92624333956041</v>
      </c>
      <c r="F119" s="1" t="s">
        <v>10</v>
      </c>
      <c r="H119" s="327">
        <f>E119</f>
        <v>122.92624333956041</v>
      </c>
      <c r="I119" s="1" t="s">
        <v>10</v>
      </c>
      <c r="J119" s="1" t="str">
        <f ca="1">OFFSET(Sprachen!A474,0,'START, DÉBUT, INIZIO'!$D$4-1,1,1)</f>
        <v>(Durchschnitt über den Handelszeitraum Q4 2021 bis Q3 2024, siehe Blatt 'Termin &amp; FX')</v>
      </c>
    </row>
    <row r="120" spans="1:18" x14ac:dyDescent="0.2">
      <c r="B120" s="1" t="str">
        <f ca="1">OFFSET(Sprachen!A468,0,'START, DÉBUT, INIZIO'!$D$4-1,1,1)</f>
        <v>Durchschnittlicher Erlös Day-Ahead-Markt</v>
      </c>
      <c r="D120" s="307">
        <f t="shared" si="22"/>
        <v>10</v>
      </c>
      <c r="E120" s="325">
        <f>E102</f>
        <v>0</v>
      </c>
      <c r="F120" s="1" t="s">
        <v>10</v>
      </c>
      <c r="H120" s="325">
        <f>H102</f>
        <v>0</v>
      </c>
      <c r="I120" s="1" t="s">
        <v>10</v>
      </c>
    </row>
    <row r="121" spans="1:18" x14ac:dyDescent="0.2">
      <c r="B121" s="1" t="str">
        <f ca="1">OFFSET(Sprachen!A469,0,'START, DÉBUT, INIZIO'!$D$4-1,1,1)</f>
        <v>Bewertung für abzusichernde Produktion</v>
      </c>
      <c r="D121" s="307">
        <f t="shared" si="22"/>
        <v>11</v>
      </c>
      <c r="E121" s="327">
        <f>E119-E120</f>
        <v>122.92624333956041</v>
      </c>
      <c r="F121" s="1" t="s">
        <v>10</v>
      </c>
      <c r="H121" s="327">
        <f>H119-H120</f>
        <v>122.92624333956041</v>
      </c>
      <c r="I121" s="1" t="s">
        <v>10</v>
      </c>
    </row>
    <row r="122" spans="1:18" x14ac:dyDescent="0.2">
      <c r="B122" s="1"/>
      <c r="D122" s="307">
        <f t="shared" si="22"/>
        <v>12</v>
      </c>
    </row>
    <row r="123" spans="1:18" x14ac:dyDescent="0.2">
      <c r="B123" s="1" t="str">
        <f ca="1">OFFSET(Sprachen!A470,0,'START, DÉBUT, INIZIO'!$D$4-1,1,1)</f>
        <v>Erlös Absicherung am Terminmarkt</v>
      </c>
      <c r="D123" s="307">
        <f t="shared" si="22"/>
        <v>13</v>
      </c>
      <c r="E123" s="6">
        <f>E117*E121</f>
        <v>0</v>
      </c>
      <c r="F123" s="1" t="s">
        <v>123</v>
      </c>
      <c r="H123" s="6">
        <f>H117*H121</f>
        <v>0</v>
      </c>
      <c r="I123" s="1" t="s">
        <v>123</v>
      </c>
    </row>
    <row r="124" spans="1:18" x14ac:dyDescent="0.2">
      <c r="C124" s="312"/>
      <c r="D124" s="312"/>
      <c r="E124" s="312"/>
      <c r="F124" s="312"/>
      <c r="G124" s="312"/>
      <c r="H124" s="308">
        <f>H123-E123</f>
        <v>0</v>
      </c>
      <c r="I124" s="309" t="s">
        <v>123</v>
      </c>
      <c r="J124" s="309" t="str">
        <f ca="1">OFFSET(Sprachen!A475,0,'START, DÉBUT, INIZIO'!$D$4-1,1,1)</f>
        <v>Mehrerlös Absicherung am Terminmarkt</v>
      </c>
    </row>
    <row r="125" spans="1:18" ht="13.5" thickBot="1" x14ac:dyDescent="0.25">
      <c r="A125" s="271"/>
      <c r="B125" s="271"/>
      <c r="C125" s="271"/>
      <c r="D125" s="271"/>
      <c r="E125" s="271"/>
      <c r="F125" s="271"/>
      <c r="G125" s="271"/>
      <c r="H125" s="271"/>
      <c r="I125" s="271"/>
      <c r="J125" s="271"/>
      <c r="K125" s="271"/>
      <c r="L125" s="271"/>
      <c r="M125" s="271"/>
      <c r="N125" s="271"/>
      <c r="O125" s="271"/>
      <c r="P125" s="271"/>
      <c r="Q125" s="271"/>
      <c r="R125" s="271"/>
    </row>
    <row r="126" spans="1:18" ht="26.1" customHeight="1" x14ac:dyDescent="0.2">
      <c r="A126" s="12" t="str">
        <f ca="1">OFFSET(Sprachen!A476,0,'START, DÉBUT, INIZIO'!$D$4-1,1,1)</f>
        <v>Investitionsbedingter Erlös aus Systemdienstleistungen</v>
      </c>
      <c r="B126" s="1"/>
      <c r="C126" s="1"/>
      <c r="D126" s="3"/>
      <c r="E126" s="900"/>
      <c r="F126" s="900"/>
      <c r="G126" s="900"/>
      <c r="H126" s="900"/>
      <c r="I126" s="900"/>
    </row>
    <row r="127" spans="1:18" x14ac:dyDescent="0.2">
      <c r="B127" s="1" t="str">
        <f ca="1">OFFSET(Sprachen!A477,0,'START, DÉBUT, INIZIO'!$D$4-1,1,1)</f>
        <v>resultierender SDL-Typ</v>
      </c>
      <c r="E127" s="3" t="str">
        <f ca="1">OFFSET(Sprachen!A484,0,'START, DÉBUT, INIZIO'!$D$4-1,1,1)</f>
        <v>NST</v>
      </c>
      <c r="G127" s="1" t="str">
        <f ca="1">OFFSET(Sprachen!A480,0,'START, DÉBUT, INIZIO'!$D$4-1,1,1)</f>
        <v>(steuerbar &gt;=3 MW (ST), nicht steuerbar oder &lt;3 MW (NST), Pumpspeicher- oder Umwälzkraftwerk (PU))</v>
      </c>
      <c r="P127" s="3" t="s">
        <v>155</v>
      </c>
    </row>
    <row r="128" spans="1:18" x14ac:dyDescent="0.2">
      <c r="B128" s="4" t="str">
        <f ca="1">OFFSET(Sprachen!A478,0,'START, DÉBUT, INIZIO'!$D$4-1,1,1)</f>
        <v>zusätzlich installierte Leistung aus Investition</v>
      </c>
      <c r="D128" s="306">
        <v>1</v>
      </c>
      <c r="E128" s="329">
        <f>'2 Techn. Angaben &amp; Produktion'!$J$11</f>
        <v>0</v>
      </c>
      <c r="F128" s="1" t="s">
        <v>114</v>
      </c>
      <c r="O128" s="14" t="str">
        <f ca="1">OFFSET(Sprachen!A701,0,'START, DÉBUT, INIZIO'!$D$4-1,1,1)</f>
        <v>NST</v>
      </c>
      <c r="P128" s="245">
        <f>Vorgaben!Y29</f>
        <v>2607.3208785379038</v>
      </c>
    </row>
    <row r="129" spans="1:18" x14ac:dyDescent="0.2">
      <c r="B129" s="1" t="str">
        <f ca="1">OFFSET(Sprachen!A479,0,'START, DÉBUT, INIZIO'!$D$4-1,1,1)</f>
        <v>Spezifischer Erlös</v>
      </c>
      <c r="D129" s="307">
        <f>D128+1</f>
        <v>2</v>
      </c>
      <c r="E129" s="6">
        <f ca="1">VLOOKUP($E$127,$O$128:$P$130,2,0)</f>
        <v>2607.3208785379038</v>
      </c>
      <c r="F129" s="1" t="s">
        <v>155</v>
      </c>
      <c r="O129" s="14" t="str">
        <f ca="1">OFFSET(Sprachen!A702,0,'START, DÉBUT, INIZIO'!$D$4-1,1,1)</f>
        <v>ST</v>
      </c>
      <c r="P129" s="245">
        <f>Vorgaben!Y30</f>
        <v>977.09985163724161</v>
      </c>
    </row>
    <row r="130" spans="1:18" x14ac:dyDescent="0.2">
      <c r="D130" s="307">
        <f>D129+1</f>
        <v>3</v>
      </c>
      <c r="E130" s="308">
        <f ca="1">E128*E129</f>
        <v>0</v>
      </c>
      <c r="F130" s="309" t="s">
        <v>123</v>
      </c>
      <c r="G130" s="309" t="str">
        <f ca="1">OFFSET(Sprachen!A485,0,'START, DÉBUT, INIZIO'!$D$4-1,1,1)</f>
        <v>Mehrerlös Systemdienstleistungen</v>
      </c>
      <c r="O130" s="14" t="str">
        <f ca="1">OFFSET(Sprachen!A703,0,'START, DÉBUT, INIZIO'!$D$4-1,1,1)</f>
        <v>PU</v>
      </c>
      <c r="P130" s="245">
        <f>Vorgaben!Y31</f>
        <v>10999.960510303179</v>
      </c>
    </row>
    <row r="131" spans="1:18" ht="13.5" thickBot="1" x14ac:dyDescent="0.25">
      <c r="A131" s="271"/>
      <c r="B131" s="271"/>
      <c r="C131" s="271"/>
      <c r="D131" s="271"/>
      <c r="E131" s="271"/>
      <c r="F131" s="271"/>
      <c r="G131" s="271"/>
      <c r="H131" s="271"/>
      <c r="I131" s="271"/>
      <c r="J131" s="271"/>
      <c r="K131" s="271"/>
      <c r="L131" s="271"/>
      <c r="M131" s="271"/>
      <c r="N131" s="271"/>
      <c r="O131" s="271"/>
      <c r="P131" s="271"/>
      <c r="Q131" s="271"/>
      <c r="R131" s="271"/>
    </row>
    <row r="132" spans="1:18" ht="26.1" customHeight="1" x14ac:dyDescent="0.2">
      <c r="A132" s="12" t="str">
        <f ca="1">OFFSET(Sprachen!A486,0,'START, DÉBUT, INIZIO'!$D$4-1,1,1)</f>
        <v>Investitionsbedingter Erlös aus Herkunftsnachweisen (HKN)</v>
      </c>
      <c r="B132" s="1"/>
      <c r="C132" s="1"/>
      <c r="D132" s="3"/>
      <c r="E132" s="900"/>
      <c r="F132" s="900"/>
      <c r="G132" s="900"/>
      <c r="H132" s="900"/>
      <c r="I132" s="900"/>
    </row>
    <row r="133" spans="1:18" x14ac:dyDescent="0.2">
      <c r="B133" s="1" t="str">
        <f ca="1">OFFSET(Sprachen!A487,0,'START, DÉBUT, INIZIO'!$D$4-1,1,1)</f>
        <v>HKN-Mehrproduktion aus Investition</v>
      </c>
      <c r="D133" s="306">
        <v>1</v>
      </c>
      <c r="E133" s="6">
        <f>'2 Techn. Angaben &amp; Produktion'!$R$86</f>
        <v>0</v>
      </c>
      <c r="F133" s="1" t="s">
        <v>148</v>
      </c>
    </row>
    <row r="134" spans="1:18" x14ac:dyDescent="0.2">
      <c r="B134" s="1" t="str">
        <f ca="1">OFFSET(Sprachen!A488,0,'START, DÉBUT, INIZIO'!$D$4-1,1,1)</f>
        <v>Spezifischer Erlös</v>
      </c>
      <c r="D134" s="307">
        <f>D133+1</f>
        <v>2</v>
      </c>
      <c r="E134" s="327" t="e">
        <f>SUMPRODUCT('2 Techn. Angaben &amp; Produktion'!$R$71:$R$82,Vorgaben!$G$35:$G$46)/'2 Techn. Angaben &amp; Produktion'!$R$86</f>
        <v>#DIV/0!</v>
      </c>
      <c r="F134" s="1" t="s">
        <v>10</v>
      </c>
    </row>
    <row r="135" spans="1:18" x14ac:dyDescent="0.2">
      <c r="D135" s="307">
        <f>D134+1</f>
        <v>3</v>
      </c>
      <c r="E135" s="308" t="e">
        <f>E133*E134</f>
        <v>#DIV/0!</v>
      </c>
      <c r="F135" s="309" t="s">
        <v>123</v>
      </c>
      <c r="G135" s="309" t="str">
        <f ca="1">OFFSET(Sprachen!A489,0,'START, DÉBUT, INIZIO'!$D$4-1,1,1)</f>
        <v>Mehrerlös Herkunftsnachweise</v>
      </c>
    </row>
    <row r="136" spans="1:18" ht="13.5" thickBot="1" x14ac:dyDescent="0.25">
      <c r="A136" s="271"/>
      <c r="B136" s="271"/>
      <c r="C136" s="271"/>
      <c r="D136" s="271"/>
      <c r="E136" s="271"/>
      <c r="F136" s="271"/>
      <c r="G136" s="271"/>
      <c r="H136" s="271"/>
      <c r="I136" s="271"/>
      <c r="J136" s="271"/>
      <c r="K136" s="271"/>
      <c r="L136" s="271"/>
      <c r="M136" s="271"/>
      <c r="N136" s="271"/>
      <c r="O136" s="271"/>
      <c r="P136" s="271"/>
      <c r="Q136" s="271"/>
      <c r="R136" s="271"/>
    </row>
    <row r="137" spans="1:18" ht="26.1" customHeight="1" x14ac:dyDescent="0.2">
      <c r="A137" s="12" t="str">
        <f ca="1">OFFSET(Sprachen!A490,0,'START, DÉBUT, INIZIO'!$D$4-1,1,1)</f>
        <v>Investitionsbedingter Erlös aus Winterreserve</v>
      </c>
      <c r="B137" s="1"/>
      <c r="C137" s="1"/>
      <c r="D137" s="3"/>
      <c r="E137" s="900"/>
      <c r="F137" s="900"/>
      <c r="G137" s="900"/>
      <c r="H137" s="900"/>
      <c r="I137" s="900"/>
    </row>
    <row r="138" spans="1:18" x14ac:dyDescent="0.2">
      <c r="B138" t="str">
        <f ca="1">OFFSET(Sprachen!A491,0,'START, DÉBUT, INIZIO'!$D$4-1,1,1)</f>
        <v>Investitionsbedingte zusätzliche Speicherkapazität</v>
      </c>
      <c r="D138" s="306">
        <v>1</v>
      </c>
      <c r="E138" s="6">
        <f>'2 Techn. Angaben &amp; Produktion'!$J$22</f>
        <v>0</v>
      </c>
      <c r="F138" s="1" t="s">
        <v>148</v>
      </c>
    </row>
    <row r="139" spans="1:18" x14ac:dyDescent="0.2">
      <c r="B139" t="str">
        <f ca="1">OFFSET(Sprachen!A492,0,'START, DÉBUT, INIZIO'!$D$4-1,1,1)</f>
        <v>Anteil Vorhaltemenge für die ganze CH Wasserkraftreserve</v>
      </c>
      <c r="D139" s="307">
        <f>D138+1</f>
        <v>2</v>
      </c>
      <c r="E139" s="331">
        <f>Vorgaben!$D$58</f>
        <v>2.9540352120997284E-2</v>
      </c>
    </row>
    <row r="140" spans="1:18" x14ac:dyDescent="0.2">
      <c r="B140" t="str">
        <f ca="1">OFFSET(Sprachen!A493,0,'START, DÉBUT, INIZIO'!$D$4-1,1,1)</f>
        <v>Zu vergütende investitionsbedingte zusätzliche Speicherkapazität</v>
      </c>
      <c r="D140" s="307">
        <f>D139+1</f>
        <v>3</v>
      </c>
      <c r="E140" s="6">
        <f>E138*E139</f>
        <v>0</v>
      </c>
      <c r="F140" s="1" t="s">
        <v>148</v>
      </c>
    </row>
    <row r="141" spans="1:18" x14ac:dyDescent="0.2">
      <c r="B141" t="str">
        <f ca="1">OFFSET(Sprachen!A494,0,'START, DÉBUT, INIZIO'!$D$4-1,1,1)</f>
        <v>Ansatz für Pauschalabgeltung</v>
      </c>
      <c r="D141" s="307">
        <f>D140+1</f>
        <v>4</v>
      </c>
      <c r="E141" s="327">
        <f>Vorgaben!$D$60</f>
        <v>62.789328632</v>
      </c>
      <c r="F141" s="1" t="s">
        <v>10</v>
      </c>
    </row>
    <row r="142" spans="1:18" x14ac:dyDescent="0.2">
      <c r="D142" s="307">
        <f>D141+1</f>
        <v>5</v>
      </c>
      <c r="E142" s="308">
        <f>E140*E141</f>
        <v>0</v>
      </c>
      <c r="F142" s="309" t="s">
        <v>123</v>
      </c>
      <c r="G142" s="309" t="str">
        <f ca="1">OFFSET(Sprachen!A495,0,'START, DÉBUT, INIZIO'!$D$4-1,1,1)</f>
        <v>Mehrerlös Winterreserve</v>
      </c>
    </row>
    <row r="143" spans="1:18" ht="13.5" thickBot="1" x14ac:dyDescent="0.25">
      <c r="A143" s="271"/>
      <c r="B143" s="271"/>
      <c r="C143" s="271"/>
      <c r="D143" s="271"/>
      <c r="E143" s="271"/>
      <c r="F143" s="271"/>
      <c r="G143" s="271"/>
      <c r="H143" s="271"/>
      <c r="I143" s="271"/>
      <c r="J143" s="271"/>
      <c r="K143" s="271"/>
      <c r="L143" s="271"/>
      <c r="M143" s="271"/>
      <c r="N143" s="271"/>
      <c r="O143" s="271"/>
      <c r="P143" s="271"/>
      <c r="Q143" s="271"/>
      <c r="R143" s="271"/>
    </row>
    <row r="144" spans="1:18" ht="26.1" customHeight="1" x14ac:dyDescent="0.2">
      <c r="A144" s="12" t="str">
        <f ca="1">OFFSET(Sprachen!A496,0,'START, DÉBUT, INIZIO'!$D$4-1,1,1)</f>
        <v>Übersteigender Teil</v>
      </c>
      <c r="B144" s="1"/>
      <c r="C144" s="1"/>
      <c r="D144" s="3"/>
      <c r="E144" s="900"/>
      <c r="F144" s="900"/>
      <c r="G144" s="900"/>
      <c r="H144" s="900"/>
      <c r="I144" s="900"/>
    </row>
    <row r="145" spans="2:13" ht="130.5" x14ac:dyDescent="0.2">
      <c r="B145" s="330" t="str">
        <f ca="1">OFFSET(Sprachen!A497,0,'START, DÉBUT, INIZIO'!$D$4-1,1,1)</f>
        <v>Die jeweiligen Jahreserlöse werden proportional zur Mehrproduktion auf die Monate verteilt</v>
      </c>
      <c r="E145" s="343" t="str">
        <f ca="1">OFFSET(Sprachen!A499,0,'START, DÉBUT, INIZIO'!$D$4-1,1,1)</f>
        <v>Mehrproduktion aus Investition
(inkl neue Speicherkapazität)</v>
      </c>
      <c r="F145" s="343" t="str">
        <f ca="1">OFFSET(Sprachen!A500,0,'START, DÉBUT, INIZIO'!$D$4-1,1,1)</f>
        <v>Erlös Day-Ahead (spezifisch)</v>
      </c>
      <c r="G145" s="343" t="str">
        <f ca="1">OFFSET(Sprachen!A502,0,'START, DÉBUT, INIZIO'!$D$4-1,1,1)</f>
        <v>Erlös Day-Ahead (absolut)</v>
      </c>
      <c r="H145" s="343" t="str">
        <f ca="1">OFFSET(Sprachen!A504,0,'START, DÉBUT, INIZIO'!$D$4-1,1,1)</f>
        <v>Erlös Terminmarktabsicherung</v>
      </c>
      <c r="I145" s="343" t="str">
        <f ca="1">OFFSET(Sprachen!A505,0,'START, DÉBUT, INIZIO'!$D$4-1,1,1)</f>
        <v>Erlös Systemdienstleistungsmarkt</v>
      </c>
      <c r="J145" s="343" t="str">
        <f ca="1">OFFSET(Sprachen!A506,0,'START, DÉBUT, INIZIO'!$D$4-1,1,1)</f>
        <v>Erlös Herkunftsnachweise</v>
      </c>
      <c r="K145" s="343" t="str">
        <f ca="1">OFFSET(Sprachen!A507,0,'START, DÉBUT, INIZIO'!$D$4-1,1,1)</f>
        <v>Erlös Winterreserve</v>
      </c>
      <c r="L145" s="344" t="str">
        <f ca="1">OFFSET(Sprachen!A508,0,'START, DÉBUT, INIZIO'!$D$4-1,1,1)</f>
        <v>Erlös Total</v>
      </c>
      <c r="M145" s="345"/>
    </row>
    <row r="146" spans="2:13" ht="13.5" thickBot="1" x14ac:dyDescent="0.25">
      <c r="D146" s="271"/>
      <c r="E146" s="275" t="s">
        <v>9</v>
      </c>
      <c r="F146" s="275" t="s">
        <v>10</v>
      </c>
      <c r="G146" s="275" t="s">
        <v>8</v>
      </c>
      <c r="H146" s="275" t="s">
        <v>8</v>
      </c>
      <c r="I146" s="275" t="s">
        <v>8</v>
      </c>
      <c r="J146" s="275" t="s">
        <v>8</v>
      </c>
      <c r="K146" s="275" t="s">
        <v>8</v>
      </c>
      <c r="L146" s="419" t="s">
        <v>8</v>
      </c>
    </row>
    <row r="147" spans="2:13" x14ac:dyDescent="0.2">
      <c r="C147" s="306">
        <v>1</v>
      </c>
      <c r="D147" s="3" t="str">
        <f t="shared" ref="D147:D158" si="23">D45</f>
        <v>10. 2024</v>
      </c>
      <c r="E147" s="333">
        <f>'2 Techn. Angaben &amp; Produktion'!AB40</f>
        <v>0</v>
      </c>
      <c r="F147" s="313">
        <f t="shared" ref="F147:F158" si="24">T90</f>
        <v>0</v>
      </c>
      <c r="G147" s="321">
        <f>E147*F147</f>
        <v>0</v>
      </c>
      <c r="H147" s="321" t="e">
        <f t="shared" ref="H147:K158" si="25">$E147/$E$159*H$159</f>
        <v>#DIV/0!</v>
      </c>
      <c r="I147" s="321" t="e">
        <f t="shared" ca="1" si="25"/>
        <v>#DIV/0!</v>
      </c>
      <c r="J147" s="321" t="e">
        <f t="shared" si="25"/>
        <v>#DIV/0!</v>
      </c>
      <c r="K147" s="321" t="e">
        <f t="shared" si="25"/>
        <v>#DIV/0!</v>
      </c>
      <c r="L147" s="334" t="e">
        <f t="shared" ref="L147:L158" si="26">SUM(G147:K147)</f>
        <v>#DIV/0!</v>
      </c>
    </row>
    <row r="148" spans="2:13" x14ac:dyDescent="0.2">
      <c r="C148" s="307">
        <f t="shared" ref="C148:C175" si="27">C147+1</f>
        <v>2</v>
      </c>
      <c r="D148" s="3" t="str">
        <f t="shared" si="23"/>
        <v>11. 2024</v>
      </c>
      <c r="E148" s="333">
        <f>'2 Techn. Angaben &amp; Produktion'!AB41</f>
        <v>0</v>
      </c>
      <c r="F148" s="313">
        <f t="shared" si="24"/>
        <v>0</v>
      </c>
      <c r="G148" s="336">
        <f t="shared" ref="G148:G158" si="28">E148*F148</f>
        <v>0</v>
      </c>
      <c r="H148" s="245" t="e">
        <f t="shared" si="25"/>
        <v>#DIV/0!</v>
      </c>
      <c r="I148" s="245" t="e">
        <f t="shared" ca="1" si="25"/>
        <v>#DIV/0!</v>
      </c>
      <c r="J148" s="245" t="e">
        <f t="shared" si="25"/>
        <v>#DIV/0!</v>
      </c>
      <c r="K148" s="245" t="e">
        <f t="shared" si="25"/>
        <v>#DIV/0!</v>
      </c>
      <c r="L148" s="334" t="e">
        <f t="shared" si="26"/>
        <v>#DIV/0!</v>
      </c>
    </row>
    <row r="149" spans="2:13" ht="13.5" thickBot="1" x14ac:dyDescent="0.25">
      <c r="C149" s="307">
        <f t="shared" si="27"/>
        <v>3</v>
      </c>
      <c r="D149" s="337" t="str">
        <f t="shared" si="23"/>
        <v>12. 2024</v>
      </c>
      <c r="E149" s="338">
        <f>'2 Techn. Angaben &amp; Produktion'!AB42</f>
        <v>0</v>
      </c>
      <c r="F149" s="339">
        <f t="shared" si="24"/>
        <v>0</v>
      </c>
      <c r="G149" s="302">
        <f t="shared" si="28"/>
        <v>0</v>
      </c>
      <c r="H149" s="302" t="e">
        <f t="shared" si="25"/>
        <v>#DIV/0!</v>
      </c>
      <c r="I149" s="302" t="e">
        <f t="shared" ca="1" si="25"/>
        <v>#DIV/0!</v>
      </c>
      <c r="J149" s="302" t="e">
        <f t="shared" si="25"/>
        <v>#DIV/0!</v>
      </c>
      <c r="K149" s="302" t="e">
        <f t="shared" si="25"/>
        <v>#DIV/0!</v>
      </c>
      <c r="L149" s="340" t="e">
        <f t="shared" si="26"/>
        <v>#DIV/0!</v>
      </c>
    </row>
    <row r="150" spans="2:13" x14ac:dyDescent="0.2">
      <c r="C150" s="307">
        <f t="shared" si="27"/>
        <v>4</v>
      </c>
      <c r="D150" s="3" t="str">
        <f t="shared" si="23"/>
        <v>1. 2025</v>
      </c>
      <c r="E150" s="333">
        <f>'2 Techn. Angaben &amp; Produktion'!AB43</f>
        <v>0</v>
      </c>
      <c r="F150" s="313">
        <f t="shared" si="24"/>
        <v>0</v>
      </c>
      <c r="G150" s="321">
        <f t="shared" si="28"/>
        <v>0</v>
      </c>
      <c r="H150" s="321" t="e">
        <f t="shared" si="25"/>
        <v>#DIV/0!</v>
      </c>
      <c r="I150" s="321" t="e">
        <f t="shared" ca="1" si="25"/>
        <v>#DIV/0!</v>
      </c>
      <c r="J150" s="321" t="e">
        <f t="shared" si="25"/>
        <v>#DIV/0!</v>
      </c>
      <c r="K150" s="321" t="e">
        <f t="shared" si="25"/>
        <v>#DIV/0!</v>
      </c>
      <c r="L150" s="334" t="e">
        <f t="shared" si="26"/>
        <v>#DIV/0!</v>
      </c>
    </row>
    <row r="151" spans="2:13" x14ac:dyDescent="0.2">
      <c r="C151" s="307">
        <f t="shared" si="27"/>
        <v>5</v>
      </c>
      <c r="D151" s="3" t="str">
        <f t="shared" si="23"/>
        <v>2. 2025</v>
      </c>
      <c r="E151" s="333">
        <f>'2 Techn. Angaben &amp; Produktion'!AB44</f>
        <v>0</v>
      </c>
      <c r="F151" s="313">
        <f t="shared" si="24"/>
        <v>0</v>
      </c>
      <c r="G151" s="336">
        <f t="shared" si="28"/>
        <v>0</v>
      </c>
      <c r="H151" s="245" t="e">
        <f t="shared" si="25"/>
        <v>#DIV/0!</v>
      </c>
      <c r="I151" s="245" t="e">
        <f t="shared" ca="1" si="25"/>
        <v>#DIV/0!</v>
      </c>
      <c r="J151" s="245" t="e">
        <f t="shared" si="25"/>
        <v>#DIV/0!</v>
      </c>
      <c r="K151" s="245" t="e">
        <f t="shared" si="25"/>
        <v>#DIV/0!</v>
      </c>
      <c r="L151" s="334" t="e">
        <f t="shared" si="26"/>
        <v>#DIV/0!</v>
      </c>
    </row>
    <row r="152" spans="2:13" ht="13.5" thickBot="1" x14ac:dyDescent="0.25">
      <c r="C152" s="307">
        <f t="shared" si="27"/>
        <v>6</v>
      </c>
      <c r="D152" s="337" t="str">
        <f t="shared" si="23"/>
        <v>3. 2025</v>
      </c>
      <c r="E152" s="338">
        <f>'2 Techn. Angaben &amp; Produktion'!AB45</f>
        <v>0</v>
      </c>
      <c r="F152" s="339">
        <f t="shared" si="24"/>
        <v>0</v>
      </c>
      <c r="G152" s="302">
        <f t="shared" si="28"/>
        <v>0</v>
      </c>
      <c r="H152" s="302" t="e">
        <f t="shared" si="25"/>
        <v>#DIV/0!</v>
      </c>
      <c r="I152" s="302" t="e">
        <f t="shared" ca="1" si="25"/>
        <v>#DIV/0!</v>
      </c>
      <c r="J152" s="302" t="e">
        <f t="shared" si="25"/>
        <v>#DIV/0!</v>
      </c>
      <c r="K152" s="302" t="e">
        <f t="shared" si="25"/>
        <v>#DIV/0!</v>
      </c>
      <c r="L152" s="340" t="e">
        <f t="shared" si="26"/>
        <v>#DIV/0!</v>
      </c>
    </row>
    <row r="153" spans="2:13" x14ac:dyDescent="0.2">
      <c r="C153" s="307">
        <f t="shared" si="27"/>
        <v>7</v>
      </c>
      <c r="D153" s="3" t="str">
        <f t="shared" si="23"/>
        <v>4. 2025</v>
      </c>
      <c r="E153" s="333">
        <f>'2 Techn. Angaben &amp; Produktion'!AB46</f>
        <v>0</v>
      </c>
      <c r="F153" s="313">
        <f t="shared" si="24"/>
        <v>0</v>
      </c>
      <c r="G153" s="321">
        <f t="shared" si="28"/>
        <v>0</v>
      </c>
      <c r="H153" s="321" t="e">
        <f t="shared" si="25"/>
        <v>#DIV/0!</v>
      </c>
      <c r="I153" s="321" t="e">
        <f t="shared" ca="1" si="25"/>
        <v>#DIV/0!</v>
      </c>
      <c r="J153" s="321" t="e">
        <f t="shared" si="25"/>
        <v>#DIV/0!</v>
      </c>
      <c r="K153" s="321" t="e">
        <f t="shared" si="25"/>
        <v>#DIV/0!</v>
      </c>
      <c r="L153" s="334" t="e">
        <f t="shared" si="26"/>
        <v>#DIV/0!</v>
      </c>
    </row>
    <row r="154" spans="2:13" x14ac:dyDescent="0.2">
      <c r="C154" s="307">
        <f t="shared" si="27"/>
        <v>8</v>
      </c>
      <c r="D154" s="3" t="str">
        <f t="shared" si="23"/>
        <v>5. 2025</v>
      </c>
      <c r="E154" s="333">
        <f>'2 Techn. Angaben &amp; Produktion'!AB47</f>
        <v>0</v>
      </c>
      <c r="F154" s="313">
        <f t="shared" si="24"/>
        <v>0</v>
      </c>
      <c r="G154" s="336">
        <f t="shared" si="28"/>
        <v>0</v>
      </c>
      <c r="H154" s="245" t="e">
        <f t="shared" si="25"/>
        <v>#DIV/0!</v>
      </c>
      <c r="I154" s="245" t="e">
        <f t="shared" ca="1" si="25"/>
        <v>#DIV/0!</v>
      </c>
      <c r="J154" s="245" t="e">
        <f t="shared" si="25"/>
        <v>#DIV/0!</v>
      </c>
      <c r="K154" s="245" t="e">
        <f t="shared" si="25"/>
        <v>#DIV/0!</v>
      </c>
      <c r="L154" s="334" t="e">
        <f t="shared" si="26"/>
        <v>#DIV/0!</v>
      </c>
    </row>
    <row r="155" spans="2:13" ht="13.5" thickBot="1" x14ac:dyDescent="0.25">
      <c r="C155" s="307">
        <f t="shared" si="27"/>
        <v>9</v>
      </c>
      <c r="D155" s="337" t="str">
        <f t="shared" si="23"/>
        <v>6. 2025</v>
      </c>
      <c r="E155" s="338">
        <f>'2 Techn. Angaben &amp; Produktion'!AB48</f>
        <v>0</v>
      </c>
      <c r="F155" s="339">
        <f t="shared" si="24"/>
        <v>0</v>
      </c>
      <c r="G155" s="302">
        <f t="shared" si="28"/>
        <v>0</v>
      </c>
      <c r="H155" s="302" t="e">
        <f t="shared" si="25"/>
        <v>#DIV/0!</v>
      </c>
      <c r="I155" s="302" t="e">
        <f t="shared" ca="1" si="25"/>
        <v>#DIV/0!</v>
      </c>
      <c r="J155" s="302" t="e">
        <f t="shared" si="25"/>
        <v>#DIV/0!</v>
      </c>
      <c r="K155" s="302" t="e">
        <f t="shared" si="25"/>
        <v>#DIV/0!</v>
      </c>
      <c r="L155" s="340" t="e">
        <f t="shared" si="26"/>
        <v>#DIV/0!</v>
      </c>
    </row>
    <row r="156" spans="2:13" x14ac:dyDescent="0.2">
      <c r="C156" s="307">
        <f t="shared" si="27"/>
        <v>10</v>
      </c>
      <c r="D156" s="3" t="str">
        <f t="shared" si="23"/>
        <v>7. 2025</v>
      </c>
      <c r="E156" s="333">
        <f>'2 Techn. Angaben &amp; Produktion'!AB49</f>
        <v>0</v>
      </c>
      <c r="F156" s="313">
        <f t="shared" si="24"/>
        <v>0</v>
      </c>
      <c r="G156" s="321">
        <f t="shared" si="28"/>
        <v>0</v>
      </c>
      <c r="H156" s="321" t="e">
        <f t="shared" si="25"/>
        <v>#DIV/0!</v>
      </c>
      <c r="I156" s="321" t="e">
        <f t="shared" ca="1" si="25"/>
        <v>#DIV/0!</v>
      </c>
      <c r="J156" s="321" t="e">
        <f t="shared" si="25"/>
        <v>#DIV/0!</v>
      </c>
      <c r="K156" s="321" t="e">
        <f t="shared" si="25"/>
        <v>#DIV/0!</v>
      </c>
      <c r="L156" s="334" t="e">
        <f t="shared" si="26"/>
        <v>#DIV/0!</v>
      </c>
    </row>
    <row r="157" spans="2:13" x14ac:dyDescent="0.2">
      <c r="C157" s="307">
        <f t="shared" si="27"/>
        <v>11</v>
      </c>
      <c r="D157" s="3" t="str">
        <f t="shared" si="23"/>
        <v>8. 2025</v>
      </c>
      <c r="E157" s="333">
        <f>'2 Techn. Angaben &amp; Produktion'!AB50</f>
        <v>0</v>
      </c>
      <c r="F157" s="313">
        <f t="shared" si="24"/>
        <v>0</v>
      </c>
      <c r="G157" s="336">
        <f t="shared" si="28"/>
        <v>0</v>
      </c>
      <c r="H157" s="245" t="e">
        <f t="shared" si="25"/>
        <v>#DIV/0!</v>
      </c>
      <c r="I157" s="245" t="e">
        <f t="shared" ca="1" si="25"/>
        <v>#DIV/0!</v>
      </c>
      <c r="J157" s="245" t="e">
        <f t="shared" si="25"/>
        <v>#DIV/0!</v>
      </c>
      <c r="K157" s="245" t="e">
        <f t="shared" si="25"/>
        <v>#DIV/0!</v>
      </c>
      <c r="L157" s="334" t="e">
        <f t="shared" si="26"/>
        <v>#DIV/0!</v>
      </c>
    </row>
    <row r="158" spans="2:13" ht="13.5" thickBot="1" x14ac:dyDescent="0.25">
      <c r="C158" s="307">
        <f t="shared" si="27"/>
        <v>12</v>
      </c>
      <c r="D158" s="337" t="str">
        <f t="shared" si="23"/>
        <v>9. 2025</v>
      </c>
      <c r="E158" s="338">
        <f>'2 Techn. Angaben &amp; Produktion'!AB51</f>
        <v>0</v>
      </c>
      <c r="F158" s="339">
        <f t="shared" si="24"/>
        <v>0</v>
      </c>
      <c r="G158" s="302">
        <f t="shared" si="28"/>
        <v>0</v>
      </c>
      <c r="H158" s="302" t="e">
        <f t="shared" si="25"/>
        <v>#DIV/0!</v>
      </c>
      <c r="I158" s="302" t="e">
        <f t="shared" ca="1" si="25"/>
        <v>#DIV/0!</v>
      </c>
      <c r="J158" s="302" t="e">
        <f t="shared" si="25"/>
        <v>#DIV/0!</v>
      </c>
      <c r="K158" s="302" t="e">
        <f t="shared" si="25"/>
        <v>#DIV/0!</v>
      </c>
      <c r="L158" s="340" t="e">
        <f t="shared" si="26"/>
        <v>#DIV/0!</v>
      </c>
    </row>
    <row r="159" spans="2:13" x14ac:dyDescent="0.2">
      <c r="C159" s="307">
        <f t="shared" si="27"/>
        <v>13</v>
      </c>
      <c r="E159" s="273">
        <f>SUM(E147:E158)</f>
        <v>0</v>
      </c>
      <c r="G159" s="6">
        <f>SUM(G147:G158)</f>
        <v>0</v>
      </c>
      <c r="H159" s="6">
        <f>$H$124</f>
        <v>0</v>
      </c>
      <c r="I159" s="6">
        <f ca="1">$E$130</f>
        <v>0</v>
      </c>
      <c r="J159" s="6" t="e">
        <f>$E$135</f>
        <v>#DIV/0!</v>
      </c>
      <c r="K159" s="6">
        <f>$E$142</f>
        <v>0</v>
      </c>
      <c r="L159" s="334" t="e">
        <f>SUM(L147:L158)</f>
        <v>#DIV/0!</v>
      </c>
    </row>
    <row r="160" spans="2:13" x14ac:dyDescent="0.2">
      <c r="C160" s="307">
        <f t="shared" si="27"/>
        <v>14</v>
      </c>
    </row>
    <row r="161" spans="2:17" ht="139.5" x14ac:dyDescent="0.2">
      <c r="B161" s="330" t="str">
        <f ca="1">OFFSET(Sprachen!A509,0,'START, DÉBUT, INIZIO'!$D$4-1,1,1)</f>
        <v>Die jeweiligen Jahreskosten werden proportional zur Mehrproduktion auf die Monate verteilt</v>
      </c>
      <c r="C161" s="307">
        <f t="shared" si="27"/>
        <v>15</v>
      </c>
      <c r="E161" s="343" t="str">
        <f ca="1">OFFSET(Sprachen!$A510,0,'START, DÉBUT, INIZIO'!$D$4-1,1,1)</f>
        <v>Kapitalkosten (Annuität ohne MwSt.)</v>
      </c>
      <c r="F161" s="343" t="str">
        <f ca="1">OFFSET(Sprachen!$A511,0,'START, DÉBUT, INIZIO'!$D$4-1,1,1)</f>
        <v>Betriebskosten (ohne MwSt.)</v>
      </c>
      <c r="G161" s="349" t="str">
        <f ca="1">OFFSET(Sprachen!$A512,0,'START, DÉBUT, INIZIO'!$D$4-1,1,1)</f>
        <v>Energiebewirtschaftungs- und -verwertungskosten</v>
      </c>
      <c r="H161" s="343" t="str">
        <f ca="1">OFFSET(Sprachen!$A513,0,'START, DÉBUT, INIZIO'!$D$4-1,1,1)</f>
        <v>Abgaben und Leistungen an das Gemeinwesen</v>
      </c>
      <c r="I161" s="343" t="str">
        <f ca="1">OFFSET(Sprachen!$A514,0,'START, DÉBUT, INIZIO'!$D$4-1,1,1)</f>
        <v>Kosten für die Elektrizität für Zubringerpumpen</v>
      </c>
      <c r="J161" s="343" t="str">
        <f ca="1">OFFSET(Sprachen!$A515,0,'START, DÉBUT, INIZIO'!$D$4-1,1,1)</f>
        <v>Kosten für die Elektrizität für Umwälzpumpen</v>
      </c>
      <c r="K161" s="343" t="str">
        <f ca="1">OFFSET(Sprachen!$A516,0,'START, DÉBUT, INIZIO'!$D$4-1,1,1)</f>
        <v>Kosten Steuern EK</v>
      </c>
      <c r="L161" s="344" t="str">
        <f ca="1">OFFSET(Sprachen!$A517,0,'START, DÉBUT, INIZIO'!$D$4-1,1,1)</f>
        <v>Kosten Total</v>
      </c>
      <c r="O161" s="332" t="str">
        <f ca="1">OFFSET(Sprachen!$A518,0,'START, DÉBUT, INIZIO'!$D$4-1,1,1)</f>
        <v>gMP Total Erlöse - Total Kosten</v>
      </c>
      <c r="P161" s="332" t="str">
        <f ca="1">OFFSET(Sprachen!$A519,0,'START, DÉBUT, INIZIO'!$D$4-1,1,1)</f>
        <v>Übersteigender Teil</v>
      </c>
      <c r="Q161" s="332" t="str">
        <f ca="1">OFFSET(Sprachen!$A520,0,'START, DÉBUT, INIZIO'!$D$4-1,1,1)</f>
        <v>Übersteigender Teil. Anteil, welcher beim Projekt bleibt</v>
      </c>
    </row>
    <row r="162" spans="2:17" ht="13.5" thickBot="1" x14ac:dyDescent="0.25">
      <c r="C162" s="307">
        <f t="shared" si="27"/>
        <v>16</v>
      </c>
      <c r="D162" s="271"/>
      <c r="E162" s="275" t="s">
        <v>8</v>
      </c>
      <c r="F162" s="275" t="s">
        <v>8</v>
      </c>
      <c r="G162" s="275" t="s">
        <v>8</v>
      </c>
      <c r="H162" s="275" t="s">
        <v>8</v>
      </c>
      <c r="I162" s="275" t="s">
        <v>8</v>
      </c>
      <c r="J162" s="275" t="s">
        <v>8</v>
      </c>
      <c r="K162" s="275" t="s">
        <v>8</v>
      </c>
      <c r="L162" s="419" t="s">
        <v>8</v>
      </c>
      <c r="N162" s="271"/>
      <c r="O162" s="275" t="s">
        <v>8</v>
      </c>
      <c r="P162" s="275" t="s">
        <v>8</v>
      </c>
      <c r="Q162" s="275" t="s">
        <v>8</v>
      </c>
    </row>
    <row r="163" spans="2:17" x14ac:dyDescent="0.2">
      <c r="C163" s="307">
        <f t="shared" si="27"/>
        <v>17</v>
      </c>
      <c r="D163" s="3" t="str">
        <f>D147</f>
        <v>10. 2024</v>
      </c>
      <c r="E163" s="321" t="e">
        <f t="shared" ref="E163:K174" si="29">$E147/$E$159*E$175</f>
        <v>#DIV/0!</v>
      </c>
      <c r="F163" s="321" t="e">
        <f t="shared" si="29"/>
        <v>#DIV/0!</v>
      </c>
      <c r="G163" s="321" t="e">
        <f t="shared" si="29"/>
        <v>#DIV/0!</v>
      </c>
      <c r="H163" s="321" t="e">
        <f t="shared" si="29"/>
        <v>#DIV/0!</v>
      </c>
      <c r="I163" s="321" t="e">
        <f t="shared" si="29"/>
        <v>#DIV/0!</v>
      </c>
      <c r="J163" s="321" t="e">
        <f t="shared" si="29"/>
        <v>#DIV/0!</v>
      </c>
      <c r="K163" s="321" t="e">
        <f t="shared" si="29"/>
        <v>#DIV/0!</v>
      </c>
      <c r="L163" s="335" t="e">
        <f>SUM(E163:K163)</f>
        <v>#DIV/0!</v>
      </c>
      <c r="N163" s="6" t="str">
        <f t="shared" ref="N163:N174" si="30">D147</f>
        <v>10. 2024</v>
      </c>
      <c r="O163" s="6" t="e">
        <f>L147-L163</f>
        <v>#DIV/0!</v>
      </c>
      <c r="P163" s="6"/>
    </row>
    <row r="164" spans="2:17" x14ac:dyDescent="0.2">
      <c r="C164" s="307">
        <f t="shared" si="27"/>
        <v>18</v>
      </c>
      <c r="D164" s="3" t="str">
        <f t="shared" ref="D164:D174" si="31">D148</f>
        <v>11. 2024</v>
      </c>
      <c r="E164" s="245" t="e">
        <f t="shared" si="29"/>
        <v>#DIV/0!</v>
      </c>
      <c r="F164" s="245" t="e">
        <f t="shared" si="29"/>
        <v>#DIV/0!</v>
      </c>
      <c r="G164" s="245" t="e">
        <f t="shared" si="29"/>
        <v>#DIV/0!</v>
      </c>
      <c r="H164" s="245" t="e">
        <f t="shared" si="29"/>
        <v>#DIV/0!</v>
      </c>
      <c r="I164" s="245" t="e">
        <f t="shared" si="29"/>
        <v>#DIV/0!</v>
      </c>
      <c r="J164" s="245" t="e">
        <f t="shared" si="29"/>
        <v>#DIV/0!</v>
      </c>
      <c r="K164" s="245" t="e">
        <f t="shared" si="29"/>
        <v>#DIV/0!</v>
      </c>
      <c r="L164" s="335" t="e">
        <f t="shared" ref="L164:L174" si="32">SUM(E164:K164)</f>
        <v>#DIV/0!</v>
      </c>
      <c r="N164" s="6" t="str">
        <f t="shared" si="30"/>
        <v>11. 2024</v>
      </c>
      <c r="O164" s="6" t="e">
        <f t="shared" ref="O164:O174" si="33">L148-L164</f>
        <v>#DIV/0!</v>
      </c>
      <c r="P164" s="6"/>
    </row>
    <row r="165" spans="2:17" ht="13.5" thickBot="1" x14ac:dyDescent="0.25">
      <c r="C165" s="307">
        <f t="shared" si="27"/>
        <v>19</v>
      </c>
      <c r="D165" s="337" t="str">
        <f t="shared" si="31"/>
        <v>12. 2024</v>
      </c>
      <c r="E165" s="302" t="e">
        <f t="shared" si="29"/>
        <v>#DIV/0!</v>
      </c>
      <c r="F165" s="302" t="e">
        <f t="shared" si="29"/>
        <v>#DIV/0!</v>
      </c>
      <c r="G165" s="302" t="e">
        <f t="shared" si="29"/>
        <v>#DIV/0!</v>
      </c>
      <c r="H165" s="302" t="e">
        <f t="shared" si="29"/>
        <v>#DIV/0!</v>
      </c>
      <c r="I165" s="302" t="e">
        <f t="shared" si="29"/>
        <v>#DIV/0!</v>
      </c>
      <c r="J165" s="302" t="e">
        <f t="shared" si="29"/>
        <v>#DIV/0!</v>
      </c>
      <c r="K165" s="302" t="e">
        <f t="shared" si="29"/>
        <v>#DIV/0!</v>
      </c>
      <c r="L165" s="341" t="e">
        <f t="shared" si="32"/>
        <v>#DIV/0!</v>
      </c>
      <c r="N165" s="340" t="str">
        <f t="shared" si="30"/>
        <v>12. 2024</v>
      </c>
      <c r="O165" s="340" t="e">
        <f t="shared" si="33"/>
        <v>#DIV/0!</v>
      </c>
      <c r="P165" s="340" t="e">
        <f>IF(O165&gt;0,O165,0)</f>
        <v>#DIV/0!</v>
      </c>
      <c r="Q165" s="340" t="e">
        <f>P165*Vorgaben!$C$4</f>
        <v>#DIV/0!</v>
      </c>
    </row>
    <row r="166" spans="2:17" x14ac:dyDescent="0.2">
      <c r="C166" s="307">
        <f t="shared" si="27"/>
        <v>20</v>
      </c>
      <c r="D166" s="3" t="str">
        <f t="shared" si="31"/>
        <v>1. 2025</v>
      </c>
      <c r="E166" s="321" t="e">
        <f t="shared" si="29"/>
        <v>#DIV/0!</v>
      </c>
      <c r="F166" s="321" t="e">
        <f t="shared" si="29"/>
        <v>#DIV/0!</v>
      </c>
      <c r="G166" s="321" t="e">
        <f t="shared" si="29"/>
        <v>#DIV/0!</v>
      </c>
      <c r="H166" s="321" t="e">
        <f t="shared" si="29"/>
        <v>#DIV/0!</v>
      </c>
      <c r="I166" s="321" t="e">
        <f t="shared" si="29"/>
        <v>#DIV/0!</v>
      </c>
      <c r="J166" s="321" t="e">
        <f t="shared" si="29"/>
        <v>#DIV/0!</v>
      </c>
      <c r="K166" s="321" t="e">
        <f t="shared" si="29"/>
        <v>#DIV/0!</v>
      </c>
      <c r="L166" s="335" t="e">
        <f t="shared" si="32"/>
        <v>#DIV/0!</v>
      </c>
      <c r="N166" s="334" t="str">
        <f t="shared" si="30"/>
        <v>1. 2025</v>
      </c>
      <c r="O166" s="334" t="e">
        <f t="shared" si="33"/>
        <v>#DIV/0!</v>
      </c>
      <c r="P166" s="334" t="e">
        <f t="shared" ref="P166:P168" si="34">IF(O166&gt;0,O166,0)</f>
        <v>#DIV/0!</v>
      </c>
      <c r="Q166" s="334" t="e">
        <f>P166*Vorgaben!$C$4</f>
        <v>#DIV/0!</v>
      </c>
    </row>
    <row r="167" spans="2:17" x14ac:dyDescent="0.2">
      <c r="C167" s="307">
        <f t="shared" si="27"/>
        <v>21</v>
      </c>
      <c r="D167" s="3" t="str">
        <f t="shared" si="31"/>
        <v>2. 2025</v>
      </c>
      <c r="E167" s="245" t="e">
        <f t="shared" si="29"/>
        <v>#DIV/0!</v>
      </c>
      <c r="F167" s="245" t="e">
        <f t="shared" si="29"/>
        <v>#DIV/0!</v>
      </c>
      <c r="G167" s="245" t="e">
        <f t="shared" si="29"/>
        <v>#DIV/0!</v>
      </c>
      <c r="H167" s="245" t="e">
        <f t="shared" si="29"/>
        <v>#DIV/0!</v>
      </c>
      <c r="I167" s="245" t="e">
        <f t="shared" si="29"/>
        <v>#DIV/0!</v>
      </c>
      <c r="J167" s="245" t="e">
        <f t="shared" si="29"/>
        <v>#DIV/0!</v>
      </c>
      <c r="K167" s="245" t="e">
        <f t="shared" si="29"/>
        <v>#DIV/0!</v>
      </c>
      <c r="L167" s="335" t="e">
        <f t="shared" si="32"/>
        <v>#DIV/0!</v>
      </c>
      <c r="N167" s="334" t="str">
        <f t="shared" si="30"/>
        <v>2. 2025</v>
      </c>
      <c r="O167" s="334" t="e">
        <f t="shared" si="33"/>
        <v>#DIV/0!</v>
      </c>
      <c r="P167" s="334" t="e">
        <f t="shared" si="34"/>
        <v>#DIV/0!</v>
      </c>
      <c r="Q167" s="334" t="e">
        <f>P167*Vorgaben!$C$4</f>
        <v>#DIV/0!</v>
      </c>
    </row>
    <row r="168" spans="2:17" ht="13.5" thickBot="1" x14ac:dyDescent="0.25">
      <c r="C168" s="307">
        <f t="shared" si="27"/>
        <v>22</v>
      </c>
      <c r="D168" s="337" t="str">
        <f t="shared" si="31"/>
        <v>3. 2025</v>
      </c>
      <c r="E168" s="302" t="e">
        <f t="shared" si="29"/>
        <v>#DIV/0!</v>
      </c>
      <c r="F168" s="302" t="e">
        <f t="shared" si="29"/>
        <v>#DIV/0!</v>
      </c>
      <c r="G168" s="302" t="e">
        <f t="shared" si="29"/>
        <v>#DIV/0!</v>
      </c>
      <c r="H168" s="302" t="e">
        <f t="shared" si="29"/>
        <v>#DIV/0!</v>
      </c>
      <c r="I168" s="302" t="e">
        <f t="shared" si="29"/>
        <v>#DIV/0!</v>
      </c>
      <c r="J168" s="302" t="e">
        <f t="shared" si="29"/>
        <v>#DIV/0!</v>
      </c>
      <c r="K168" s="302" t="e">
        <f t="shared" si="29"/>
        <v>#DIV/0!</v>
      </c>
      <c r="L168" s="341" t="e">
        <f t="shared" si="32"/>
        <v>#DIV/0!</v>
      </c>
      <c r="N168" s="340" t="str">
        <f t="shared" si="30"/>
        <v>3. 2025</v>
      </c>
      <c r="O168" s="340" t="e">
        <f t="shared" si="33"/>
        <v>#DIV/0!</v>
      </c>
      <c r="P168" s="340" t="e">
        <f t="shared" si="34"/>
        <v>#DIV/0!</v>
      </c>
      <c r="Q168" s="340" t="e">
        <f>P168*Vorgaben!$C$4</f>
        <v>#DIV/0!</v>
      </c>
    </row>
    <row r="169" spans="2:17" x14ac:dyDescent="0.2">
      <c r="C169" s="307">
        <f t="shared" si="27"/>
        <v>23</v>
      </c>
      <c r="D169" s="3" t="str">
        <f t="shared" si="31"/>
        <v>4. 2025</v>
      </c>
      <c r="E169" s="321" t="e">
        <f t="shared" si="29"/>
        <v>#DIV/0!</v>
      </c>
      <c r="F169" s="321" t="e">
        <f t="shared" si="29"/>
        <v>#DIV/0!</v>
      </c>
      <c r="G169" s="321" t="e">
        <f t="shared" si="29"/>
        <v>#DIV/0!</v>
      </c>
      <c r="H169" s="321" t="e">
        <f t="shared" si="29"/>
        <v>#DIV/0!</v>
      </c>
      <c r="I169" s="321" t="e">
        <f t="shared" si="29"/>
        <v>#DIV/0!</v>
      </c>
      <c r="J169" s="321" t="e">
        <f t="shared" si="29"/>
        <v>#DIV/0!</v>
      </c>
      <c r="K169" s="321" t="e">
        <f t="shared" si="29"/>
        <v>#DIV/0!</v>
      </c>
      <c r="L169" s="335" t="e">
        <f t="shared" si="32"/>
        <v>#DIV/0!</v>
      </c>
      <c r="N169" s="6" t="str">
        <f t="shared" si="30"/>
        <v>4. 2025</v>
      </c>
      <c r="O169" s="6" t="e">
        <f t="shared" si="33"/>
        <v>#DIV/0!</v>
      </c>
      <c r="P169" s="6"/>
    </row>
    <row r="170" spans="2:17" x14ac:dyDescent="0.2">
      <c r="C170" s="307">
        <f t="shared" si="27"/>
        <v>24</v>
      </c>
      <c r="D170" s="3" t="str">
        <f t="shared" si="31"/>
        <v>5. 2025</v>
      </c>
      <c r="E170" s="245" t="e">
        <f t="shared" si="29"/>
        <v>#DIV/0!</v>
      </c>
      <c r="F170" s="245" t="e">
        <f t="shared" si="29"/>
        <v>#DIV/0!</v>
      </c>
      <c r="G170" s="245" t="e">
        <f t="shared" si="29"/>
        <v>#DIV/0!</v>
      </c>
      <c r="H170" s="245" t="e">
        <f t="shared" si="29"/>
        <v>#DIV/0!</v>
      </c>
      <c r="I170" s="245" t="e">
        <f t="shared" si="29"/>
        <v>#DIV/0!</v>
      </c>
      <c r="J170" s="245" t="e">
        <f t="shared" si="29"/>
        <v>#DIV/0!</v>
      </c>
      <c r="K170" s="245" t="e">
        <f t="shared" si="29"/>
        <v>#DIV/0!</v>
      </c>
      <c r="L170" s="335" t="e">
        <f>SUM(E170:K170)</f>
        <v>#DIV/0!</v>
      </c>
      <c r="N170" s="6" t="str">
        <f t="shared" si="30"/>
        <v>5. 2025</v>
      </c>
      <c r="O170" s="6" t="e">
        <f t="shared" si="33"/>
        <v>#DIV/0!</v>
      </c>
      <c r="P170" s="6"/>
    </row>
    <row r="171" spans="2:17" ht="13.5" thickBot="1" x14ac:dyDescent="0.25">
      <c r="C171" s="307">
        <f t="shared" si="27"/>
        <v>25</v>
      </c>
      <c r="D171" s="337" t="str">
        <f t="shared" si="31"/>
        <v>6. 2025</v>
      </c>
      <c r="E171" s="302" t="e">
        <f t="shared" si="29"/>
        <v>#DIV/0!</v>
      </c>
      <c r="F171" s="302" t="e">
        <f t="shared" si="29"/>
        <v>#DIV/0!</v>
      </c>
      <c r="G171" s="302" t="e">
        <f t="shared" si="29"/>
        <v>#DIV/0!</v>
      </c>
      <c r="H171" s="302" t="e">
        <f t="shared" si="29"/>
        <v>#DIV/0!</v>
      </c>
      <c r="I171" s="302" t="e">
        <f t="shared" si="29"/>
        <v>#DIV/0!</v>
      </c>
      <c r="J171" s="302" t="e">
        <f t="shared" si="29"/>
        <v>#DIV/0!</v>
      </c>
      <c r="K171" s="302" t="e">
        <f t="shared" si="29"/>
        <v>#DIV/0!</v>
      </c>
      <c r="L171" s="341" t="e">
        <f t="shared" si="32"/>
        <v>#DIV/0!</v>
      </c>
      <c r="N171" s="342" t="str">
        <f t="shared" si="30"/>
        <v>6. 2025</v>
      </c>
      <c r="O171" s="342" t="e">
        <f t="shared" si="33"/>
        <v>#DIV/0!</v>
      </c>
      <c r="P171" s="6"/>
    </row>
    <row r="172" spans="2:17" x14ac:dyDescent="0.2">
      <c r="C172" s="307">
        <f t="shared" si="27"/>
        <v>26</v>
      </c>
      <c r="D172" s="3" t="str">
        <f t="shared" si="31"/>
        <v>7. 2025</v>
      </c>
      <c r="E172" s="321" t="e">
        <f t="shared" si="29"/>
        <v>#DIV/0!</v>
      </c>
      <c r="F172" s="321" t="e">
        <f t="shared" si="29"/>
        <v>#DIV/0!</v>
      </c>
      <c r="G172" s="321" t="e">
        <f t="shared" si="29"/>
        <v>#DIV/0!</v>
      </c>
      <c r="H172" s="321" t="e">
        <f t="shared" si="29"/>
        <v>#DIV/0!</v>
      </c>
      <c r="I172" s="321" t="e">
        <f t="shared" si="29"/>
        <v>#DIV/0!</v>
      </c>
      <c r="J172" s="321" t="e">
        <f t="shared" si="29"/>
        <v>#DIV/0!</v>
      </c>
      <c r="K172" s="321" t="e">
        <f t="shared" si="29"/>
        <v>#DIV/0!</v>
      </c>
      <c r="L172" s="335" t="e">
        <f t="shared" si="32"/>
        <v>#DIV/0!</v>
      </c>
      <c r="N172" s="6" t="str">
        <f t="shared" si="30"/>
        <v>7. 2025</v>
      </c>
      <c r="O172" s="6" t="e">
        <f t="shared" si="33"/>
        <v>#DIV/0!</v>
      </c>
      <c r="P172" s="6"/>
    </row>
    <row r="173" spans="2:17" x14ac:dyDescent="0.2">
      <c r="C173" s="307">
        <f t="shared" si="27"/>
        <v>27</v>
      </c>
      <c r="D173" s="3" t="str">
        <f t="shared" si="31"/>
        <v>8. 2025</v>
      </c>
      <c r="E173" s="245" t="e">
        <f t="shared" si="29"/>
        <v>#DIV/0!</v>
      </c>
      <c r="F173" s="245" t="e">
        <f t="shared" si="29"/>
        <v>#DIV/0!</v>
      </c>
      <c r="G173" s="245" t="e">
        <f t="shared" si="29"/>
        <v>#DIV/0!</v>
      </c>
      <c r="H173" s="245" t="e">
        <f t="shared" si="29"/>
        <v>#DIV/0!</v>
      </c>
      <c r="I173" s="245" t="e">
        <f t="shared" si="29"/>
        <v>#DIV/0!</v>
      </c>
      <c r="J173" s="245" t="e">
        <f t="shared" si="29"/>
        <v>#DIV/0!</v>
      </c>
      <c r="K173" s="245" t="e">
        <f t="shared" si="29"/>
        <v>#DIV/0!</v>
      </c>
      <c r="L173" s="335" t="e">
        <f t="shared" si="32"/>
        <v>#DIV/0!</v>
      </c>
      <c r="N173" s="6" t="str">
        <f t="shared" si="30"/>
        <v>8. 2025</v>
      </c>
      <c r="O173" s="6" t="e">
        <f t="shared" si="33"/>
        <v>#DIV/0!</v>
      </c>
      <c r="P173" s="6"/>
    </row>
    <row r="174" spans="2:17" ht="13.5" thickBot="1" x14ac:dyDescent="0.25">
      <c r="C174" s="307">
        <f t="shared" si="27"/>
        <v>28</v>
      </c>
      <c r="D174" s="337" t="str">
        <f t="shared" si="31"/>
        <v>9. 2025</v>
      </c>
      <c r="E174" s="302" t="e">
        <f t="shared" si="29"/>
        <v>#DIV/0!</v>
      </c>
      <c r="F174" s="302" t="e">
        <f t="shared" si="29"/>
        <v>#DIV/0!</v>
      </c>
      <c r="G174" s="302" t="e">
        <f t="shared" si="29"/>
        <v>#DIV/0!</v>
      </c>
      <c r="H174" s="302" t="e">
        <f t="shared" si="29"/>
        <v>#DIV/0!</v>
      </c>
      <c r="I174" s="302" t="e">
        <f t="shared" si="29"/>
        <v>#DIV/0!</v>
      </c>
      <c r="J174" s="302" t="e">
        <f t="shared" si="29"/>
        <v>#DIV/0!</v>
      </c>
      <c r="K174" s="302" t="e">
        <f t="shared" si="29"/>
        <v>#DIV/0!</v>
      </c>
      <c r="L174" s="341" t="e">
        <f t="shared" si="32"/>
        <v>#DIV/0!</v>
      </c>
      <c r="N174" s="342" t="str">
        <f t="shared" si="30"/>
        <v>9. 2025</v>
      </c>
      <c r="O174" s="342" t="e">
        <f t="shared" si="33"/>
        <v>#DIV/0!</v>
      </c>
      <c r="P174" s="342"/>
    </row>
    <row r="175" spans="2:17" x14ac:dyDescent="0.2">
      <c r="C175" s="307">
        <f t="shared" si="27"/>
        <v>29</v>
      </c>
      <c r="E175" s="6">
        <f>$D$6</f>
        <v>0</v>
      </c>
      <c r="F175" s="6" t="e">
        <f>$D$11</f>
        <v>#DIV/0!</v>
      </c>
      <c r="G175" s="6">
        <f>$D$17</f>
        <v>0</v>
      </c>
      <c r="H175" s="6" t="e">
        <f>$D$23</f>
        <v>#DIV/0!</v>
      </c>
      <c r="I175" s="6">
        <f>$K$40</f>
        <v>0</v>
      </c>
      <c r="J175" s="6">
        <f>$K$57</f>
        <v>0</v>
      </c>
      <c r="K175" s="6">
        <f>$E$65</f>
        <v>0</v>
      </c>
      <c r="L175" s="334" t="e">
        <f>SUM(E175:K175)</f>
        <v>#DIV/0!</v>
      </c>
      <c r="O175" s="6" t="e">
        <f>SUM(O163:O174)</f>
        <v>#DIV/0!</v>
      </c>
      <c r="P175" s="6" t="e">
        <f>SUM(P165:P168)</f>
        <v>#DIV/0!</v>
      </c>
      <c r="Q175" s="353" t="e">
        <f t="shared" ref="Q175" si="35">SUM(Q165:Q168)</f>
        <v>#DIV/0!</v>
      </c>
    </row>
    <row r="176" spans="2:17" ht="19.5" customHeight="1" x14ac:dyDescent="0.2">
      <c r="P176" s="14" t="str">
        <f ca="1">OFFSET(Sprachen!A521,0,'START, DÉBUT, INIZIO'!$D$4-1,1,1)</f>
        <v>Noch vom Projekt zu bezahlende Gewinn-Steuern auf übersteigendem Anteil</v>
      </c>
      <c r="Q176" s="6" t="e">
        <f>Q175*Vorgaben!$C$7</f>
        <v>#DIV/0!</v>
      </c>
    </row>
    <row r="177" spans="1:18" ht="13.5" thickBot="1" x14ac:dyDescent="0.25">
      <c r="A177" s="271"/>
      <c r="B177" s="271"/>
      <c r="C177" s="271"/>
      <c r="D177" s="271"/>
      <c r="E177" s="271"/>
      <c r="F177" s="271"/>
      <c r="G177" s="271"/>
      <c r="H177" s="271"/>
      <c r="I177" s="271"/>
      <c r="J177" s="271"/>
      <c r="K177" s="271"/>
      <c r="L177" s="271"/>
      <c r="M177" s="271"/>
      <c r="N177" s="271"/>
      <c r="O177" s="271"/>
      <c r="P177" s="271"/>
      <c r="Q177" s="271"/>
      <c r="R177" s="271"/>
    </row>
    <row r="178" spans="1:18" ht="26.1" customHeight="1" x14ac:dyDescent="0.2">
      <c r="A178" s="368" t="str">
        <f ca="1">OFFSET(Sprachen!A522,0,'START, DÉBUT, INIZIO'!$D$4-1,1,1)</f>
        <v>Gleitende Marktprämie</v>
      </c>
      <c r="B178" s="1"/>
      <c r="C178" s="1"/>
      <c r="D178" s="3"/>
      <c r="E178" s="900"/>
      <c r="F178" s="900"/>
      <c r="G178" s="900"/>
      <c r="H178" s="900"/>
      <c r="I178" s="900"/>
    </row>
    <row r="179" spans="1:18" ht="19.5" customHeight="1" x14ac:dyDescent="0.2">
      <c r="A179" s="354"/>
      <c r="B179" s="1" t="str">
        <f ca="1">OFFSET(Sprachen!A523,0,'START, DÉBUT, INIZIO'!$D$4-1,1,1)</f>
        <v>Gewinn- und Verlustrechnung</v>
      </c>
      <c r="C179" s="259"/>
      <c r="D179" s="3" t="s">
        <v>8</v>
      </c>
      <c r="E179" s="3" t="s">
        <v>8</v>
      </c>
      <c r="F179" s="259"/>
      <c r="G179" s="259"/>
      <c r="H179" s="259"/>
      <c r="I179" s="259"/>
    </row>
    <row r="180" spans="1:18" ht="19.5" customHeight="1" x14ac:dyDescent="0.2">
      <c r="A180" s="354"/>
      <c r="B180" s="12" t="str">
        <f ca="1">OFFSET(Sprachen!A524,0,'START, DÉBUT, INIZIO'!$D$4-1,1,1)</f>
        <v>Ertrag</v>
      </c>
      <c r="C180" s="370">
        <v>1</v>
      </c>
      <c r="D180" s="15"/>
      <c r="E180" s="355" t="e">
        <f ca="1">SUM(D181:D185)</f>
        <v>#DIV/0!</v>
      </c>
      <c r="F180" s="259"/>
      <c r="G180" s="259"/>
      <c r="H180" s="259"/>
      <c r="I180" s="259"/>
    </row>
    <row r="181" spans="1:18" x14ac:dyDescent="0.2">
      <c r="B181" s="14" t="str">
        <f ca="1">OFFSET(Sprachen!A525,0,'START, DÉBUT, INIZIO'!$D$4-1,1,1)</f>
        <v>Day-Ahead-Verkauf</v>
      </c>
      <c r="C181" s="307">
        <f t="shared" ref="C181:C202" si="36">C180+1</f>
        <v>2</v>
      </c>
      <c r="D181" s="6">
        <f>G159</f>
        <v>0</v>
      </c>
    </row>
    <row r="182" spans="1:18" x14ac:dyDescent="0.2">
      <c r="B182" s="14" t="str">
        <f ca="1">OFFSET(Sprachen!A527,0,'START, DÉBUT, INIZIO'!$D$4-1,1,1)</f>
        <v>Terminmarktabsicherung</v>
      </c>
      <c r="C182" s="307">
        <f t="shared" si="36"/>
        <v>3</v>
      </c>
      <c r="D182" s="6">
        <f>H159</f>
        <v>0</v>
      </c>
    </row>
    <row r="183" spans="1:18" x14ac:dyDescent="0.2">
      <c r="B183" s="14" t="str">
        <f ca="1">OFFSET(Sprachen!A528,0,'START, DÉBUT, INIZIO'!$D$4-1,1,1)</f>
        <v>Systemdienstleistungsmarkt</v>
      </c>
      <c r="C183" s="307">
        <f t="shared" si="36"/>
        <v>4</v>
      </c>
      <c r="D183" s="6">
        <f ca="1">I159</f>
        <v>0</v>
      </c>
    </row>
    <row r="184" spans="1:18" x14ac:dyDescent="0.2">
      <c r="B184" s="14" t="str">
        <f ca="1">OFFSET(Sprachen!A529,0,'START, DÉBUT, INIZIO'!$D$4-1,1,1)</f>
        <v>Herkunftsnachweise</v>
      </c>
      <c r="C184" s="307">
        <f t="shared" si="36"/>
        <v>5</v>
      </c>
      <c r="D184" s="6" t="e">
        <f>J159</f>
        <v>#DIV/0!</v>
      </c>
    </row>
    <row r="185" spans="1:18" x14ac:dyDescent="0.2">
      <c r="B185" s="14" t="str">
        <f ca="1">OFFSET(Sprachen!A530,0,'START, DÉBUT, INIZIO'!$D$4-1,1,1)</f>
        <v>Winterreserve</v>
      </c>
      <c r="C185" s="307">
        <f t="shared" si="36"/>
        <v>6</v>
      </c>
      <c r="D185" s="6">
        <f>K159</f>
        <v>0</v>
      </c>
    </row>
    <row r="186" spans="1:18" s="10" customFormat="1" ht="17.45" customHeight="1" x14ac:dyDescent="0.2">
      <c r="B186" s="368" t="str">
        <f ca="1">OFFSET(Sprachen!A531,0,'START, DÉBUT, INIZIO'!$D$4-1,1,1)</f>
        <v>Aufwand</v>
      </c>
      <c r="C186" s="370">
        <f t="shared" si="36"/>
        <v>7</v>
      </c>
      <c r="D186" s="280"/>
      <c r="E186" s="355" t="e">
        <f>SUM(D187:D191)</f>
        <v>#DIV/0!</v>
      </c>
    </row>
    <row r="187" spans="1:18" x14ac:dyDescent="0.2">
      <c r="B187" s="14" t="str">
        <f ca="1">OFFSET(Sprachen!A532,0,'START, DÉBUT, INIZIO'!$D$4-1,1,1)</f>
        <v>Kosten für die Elektrizität für Zubringerpumpen</v>
      </c>
      <c r="C187" s="307">
        <f t="shared" si="36"/>
        <v>8</v>
      </c>
      <c r="D187" s="6">
        <f>I175</f>
        <v>0</v>
      </c>
      <c r="E187" s="6"/>
    </row>
    <row r="188" spans="1:18" x14ac:dyDescent="0.2">
      <c r="B188" s="14" t="str">
        <f ca="1">OFFSET(Sprachen!A533,0,'START, DÉBUT, INIZIO'!$D$4-1,1,1)</f>
        <v>Kosten für die Elektrizität für Umwälzpumpen</v>
      </c>
      <c r="C188" s="307">
        <f t="shared" si="36"/>
        <v>9</v>
      </c>
      <c r="D188" s="6">
        <f>J175</f>
        <v>0</v>
      </c>
      <c r="E188" s="6"/>
      <c r="G188" s="6"/>
    </row>
    <row r="189" spans="1:18" x14ac:dyDescent="0.2">
      <c r="B189" s="14" t="str">
        <f ca="1">OFFSET(Sprachen!A534,0,'START, DÉBUT, INIZIO'!$D$4-1,1,1)</f>
        <v>Betriebskosten</v>
      </c>
      <c r="C189" s="307">
        <f t="shared" si="36"/>
        <v>10</v>
      </c>
      <c r="D189" s="6" t="e">
        <f>F175</f>
        <v>#DIV/0!</v>
      </c>
      <c r="E189" s="6"/>
    </row>
    <row r="190" spans="1:18" x14ac:dyDescent="0.2">
      <c r="B190" s="14" t="str">
        <f ca="1">OFFSET(Sprachen!A535,0,'START, DÉBUT, INIZIO'!$D$4-1,1,1)</f>
        <v>Energiebewirtschaftungs- und -verwertungskosten</v>
      </c>
      <c r="C190" s="307">
        <f t="shared" si="36"/>
        <v>11</v>
      </c>
      <c r="D190" s="6">
        <f>G175</f>
        <v>0</v>
      </c>
      <c r="E190" s="6"/>
    </row>
    <row r="191" spans="1:18" x14ac:dyDescent="0.2">
      <c r="B191" s="407" t="str">
        <f ca="1">OFFSET(Sprachen!A536,0,'START, DÉBUT, INIZIO'!$D$4-1,1,1)</f>
        <v>Abgaben und Leistungen an das Gemeinwesen (inkl. Wasserzins)</v>
      </c>
      <c r="C191" s="307">
        <f t="shared" si="36"/>
        <v>12</v>
      </c>
      <c r="D191" s="409" t="e">
        <f>H175</f>
        <v>#DIV/0!</v>
      </c>
      <c r="E191" s="6"/>
    </row>
    <row r="192" spans="1:18" s="235" customFormat="1" ht="22.5" customHeight="1" x14ac:dyDescent="0.2">
      <c r="B192" s="448" t="str">
        <f ca="1">OFFSET(Sprachen!A537,0,'START, DÉBUT, INIZIO'!$D$4-1,1,1)</f>
        <v>gleitende Marktprämie ohne Berücksichtigung des max. Vergütungssatzes</v>
      </c>
      <c r="C192" s="356">
        <f t="shared" si="36"/>
        <v>13</v>
      </c>
      <c r="D192" s="365"/>
      <c r="E192" s="366" t="e">
        <f ca="1">E202-E180+E186+D194+D196+D198+D199+D201</f>
        <v>#DIV/0!</v>
      </c>
      <c r="F192" s="367" t="str">
        <f ca="1">OFFSET(Sprachen!A549,0,'START, DÉBUT, INIZIO'!$D$4-1,1,1)</f>
        <v>+ vom Netzzuschlagsfonds (NZF) zum Projekt, - vom Projekt zum NZF</v>
      </c>
    </row>
    <row r="193" spans="1:18" s="11" customFormat="1" ht="21" customHeight="1" x14ac:dyDescent="0.2">
      <c r="B193" s="368" t="str">
        <f ca="1">OFFSET(Sprachen!A539,0,'START, DÉBUT, INIZIO'!$D$4-1,1,1)</f>
        <v>EBITDA</v>
      </c>
      <c r="C193" s="357">
        <f t="shared" si="36"/>
        <v>14</v>
      </c>
      <c r="E193" s="355" t="e">
        <f ca="1">E180-E186+E192</f>
        <v>#DIV/0!</v>
      </c>
    </row>
    <row r="194" spans="1:18" s="11" customFormat="1" x14ac:dyDescent="0.2">
      <c r="B194" s="361" t="str">
        <f ca="1">OFFSET(Sprachen!A540,0,'START, DÉBUT, INIZIO'!$D$4-1,1,1)</f>
        <v>Abschreibungen</v>
      </c>
      <c r="C194" s="362">
        <f t="shared" si="36"/>
        <v>15</v>
      </c>
      <c r="D194" s="363">
        <f>'3 Investitionskosten'!N13/'3 Investitionskosten'!U13</f>
        <v>0</v>
      </c>
      <c r="E194" s="364"/>
    </row>
    <row r="195" spans="1:18" s="11" customFormat="1" ht="21" customHeight="1" x14ac:dyDescent="0.2">
      <c r="B195" s="368" t="str">
        <f ca="1">OFFSET(Sprachen!A541,0,'START, DÉBUT, INIZIO'!$D$4-1,1,1)</f>
        <v>EBIT</v>
      </c>
      <c r="C195" s="357">
        <f t="shared" si="36"/>
        <v>16</v>
      </c>
      <c r="E195" s="355" t="e">
        <f ca="1">E193-D194</f>
        <v>#DIV/0!</v>
      </c>
    </row>
    <row r="196" spans="1:18" s="11" customFormat="1" x14ac:dyDescent="0.2">
      <c r="B196" s="361" t="str">
        <f ca="1">OFFSET(Sprachen!A542,0,'START, DÉBUT, INIZIO'!$D$4-1,1,1)</f>
        <v>Fremdkapitalkosten</v>
      </c>
      <c r="C196" s="362">
        <f t="shared" si="36"/>
        <v>17</v>
      </c>
      <c r="D196" s="363">
        <f>E63</f>
        <v>0</v>
      </c>
      <c r="E196" s="364"/>
    </row>
    <row r="197" spans="1:18" s="11" customFormat="1" ht="21" customHeight="1" x14ac:dyDescent="0.2">
      <c r="B197" s="368" t="str">
        <f ca="1">OFFSET(Sprachen!A543,0,'START, DÉBUT, INIZIO'!$D$4-1,1,1)</f>
        <v>EBT</v>
      </c>
      <c r="C197" s="357">
        <f t="shared" si="36"/>
        <v>18</v>
      </c>
      <c r="E197" s="355" t="e">
        <f ca="1">E195-D196</f>
        <v>#DIV/0!</v>
      </c>
    </row>
    <row r="198" spans="1:18" s="11" customFormat="1" x14ac:dyDescent="0.2">
      <c r="B198" s="360" t="str">
        <f ca="1">OFFSET(Sprachen!A544,0,'START, DÉBUT, INIZIO'!$D$4-1,1,1)</f>
        <v>Eigenkapitalgewinnsteuer</v>
      </c>
      <c r="C198" s="358">
        <f t="shared" si="36"/>
        <v>19</v>
      </c>
      <c r="D198" s="6">
        <f>K175</f>
        <v>0</v>
      </c>
      <c r="E198" s="359"/>
    </row>
    <row r="199" spans="1:18" s="11" customFormat="1" x14ac:dyDescent="0.2">
      <c r="B199" s="361" t="str">
        <f ca="1">OFFSET(Sprachen!A545,0,'START, DÉBUT, INIZIO'!$D$4-1,1,1)</f>
        <v xml:space="preserve">Gewinnsteuer auf übersteigendem Anteil </v>
      </c>
      <c r="C199" s="362">
        <f t="shared" si="36"/>
        <v>20</v>
      </c>
      <c r="D199" s="363" t="e">
        <f>Q176</f>
        <v>#DIV/0!</v>
      </c>
      <c r="E199" s="364"/>
    </row>
    <row r="200" spans="1:18" s="11" customFormat="1" ht="21" customHeight="1" x14ac:dyDescent="0.2">
      <c r="B200" s="368" t="str">
        <f ca="1">OFFSET(Sprachen!A546,0,'START, DÉBUT, INIZIO'!$D$4-1,1,1)</f>
        <v>EAT</v>
      </c>
      <c r="C200" s="357">
        <f t="shared" si="36"/>
        <v>21</v>
      </c>
      <c r="E200" s="355" t="e">
        <f ca="1">E197-D198-D199</f>
        <v>#DIV/0!</v>
      </c>
    </row>
    <row r="201" spans="1:18" s="11" customFormat="1" x14ac:dyDescent="0.2">
      <c r="B201" s="361" t="str">
        <f ca="1">OFFSET(Sprachen!A547,0,'START, DÉBUT, INIZIO'!$D$4-1,1,1)</f>
        <v>Eigenkapitalkosten</v>
      </c>
      <c r="C201" s="362">
        <f t="shared" si="36"/>
        <v>22</v>
      </c>
      <c r="D201" s="363">
        <f>E62</f>
        <v>0</v>
      </c>
      <c r="E201" s="364"/>
      <c r="F201" s="360"/>
    </row>
    <row r="202" spans="1:18" s="11" customFormat="1" ht="21" customHeight="1" x14ac:dyDescent="0.2">
      <c r="B202" s="368" t="str">
        <f ca="1">OFFSET(Sprachen!A548,0,'START, DÉBUT, INIZIO'!$D$4-1,1,1)</f>
        <v>Gewinn nach Eigenkapitalkosten</v>
      </c>
      <c r="C202" s="369">
        <f t="shared" si="36"/>
        <v>23</v>
      </c>
      <c r="E202" s="355" t="e">
        <f>Q175-Q176</f>
        <v>#DIV/0!</v>
      </c>
      <c r="F202" s="11" t="str">
        <f ca="1">OFFSET(Sprachen!A550,0,'START, DÉBUT, INIZIO'!$D$4-1,1,1)</f>
        <v>Beim Projekt verbleibender übersteigender Anteil</v>
      </c>
    </row>
    <row r="203" spans="1:18" s="11" customFormat="1" x14ac:dyDescent="0.2">
      <c r="B203" s="360"/>
      <c r="C203" s="358"/>
      <c r="E203" s="359"/>
    </row>
    <row r="204" spans="1:18" ht="13.5" thickBot="1" x14ac:dyDescent="0.25">
      <c r="A204" s="271"/>
      <c r="B204" s="271"/>
      <c r="C204" s="271"/>
      <c r="D204" s="271"/>
      <c r="E204" s="271"/>
      <c r="F204" s="271"/>
      <c r="G204" s="271"/>
      <c r="H204" s="271"/>
      <c r="I204" s="271"/>
      <c r="J204" s="271"/>
      <c r="K204" s="271"/>
      <c r="L204" s="271"/>
      <c r="M204" s="271"/>
      <c r="N204" s="271"/>
      <c r="O204" s="271"/>
      <c r="P204" s="271"/>
      <c r="Q204" s="271"/>
      <c r="R204" s="271"/>
    </row>
    <row r="205" spans="1:18" ht="26.1" customHeight="1" x14ac:dyDescent="0.2">
      <c r="A205" s="12" t="str">
        <f ca="1">OFFSET(Sprachen!A551,0,'START, DÉBUT, INIZIO'!$D$4-1,1,1)</f>
        <v>Kennzahlen</v>
      </c>
      <c r="B205" s="1"/>
      <c r="C205" s="1"/>
      <c r="D205" s="3"/>
      <c r="E205" s="900"/>
      <c r="F205" s="900"/>
      <c r="G205" s="900"/>
      <c r="H205" s="900"/>
      <c r="I205" s="900"/>
    </row>
    <row r="206" spans="1:18" x14ac:dyDescent="0.2">
      <c r="B206" s="351" t="str">
        <f ca="1">OFFSET(Sprachen!A552,0,'START, DÉBUT, INIZIO'!$D$4-1,1,1)</f>
        <v>Kapitalkosten</v>
      </c>
      <c r="C206" s="5">
        <v>1</v>
      </c>
      <c r="D206" s="6">
        <f>D6</f>
        <v>0</v>
      </c>
      <c r="E206" t="s">
        <v>8</v>
      </c>
      <c r="K206" s="6"/>
    </row>
    <row r="207" spans="1:18" x14ac:dyDescent="0.2">
      <c r="B207" s="351" t="str">
        <f ca="1">OFFSET(Sprachen!A553,0,'START, DÉBUT, INIZIO'!$D$4-1,1,1)</f>
        <v>Betriebskosten</v>
      </c>
      <c r="C207" s="307">
        <f t="shared" ref="C207:C230" si="37">C206+1</f>
        <v>2</v>
      </c>
      <c r="D207" s="6" t="e">
        <f>D189</f>
        <v>#DIV/0!</v>
      </c>
      <c r="E207" t="s">
        <v>8</v>
      </c>
      <c r="K207" s="6"/>
    </row>
    <row r="208" spans="1:18" x14ac:dyDescent="0.2">
      <c r="B208" s="351" t="str">
        <f ca="1">OFFSET(Sprachen!A554,0,'START, DÉBUT, INIZIO'!$D$4-1,1,1)</f>
        <v>Energiebewirtschaftungs- und -verwertungskosten</v>
      </c>
      <c r="C208" s="307">
        <f t="shared" si="37"/>
        <v>3</v>
      </c>
      <c r="D208" s="6">
        <f>D190</f>
        <v>0</v>
      </c>
      <c r="E208" t="s">
        <v>8</v>
      </c>
      <c r="K208" s="6"/>
    </row>
    <row r="209" spans="2:11" x14ac:dyDescent="0.2">
      <c r="B209" s="351" t="str">
        <f ca="1">OFFSET(Sprachen!A555,0,'START, DÉBUT, INIZIO'!$D$4-1,1,1)</f>
        <v>Abgaben und Leistungen an das Gemeinwesen</v>
      </c>
      <c r="C209" s="307">
        <f t="shared" si="37"/>
        <v>4</v>
      </c>
      <c r="D209" s="6" t="e">
        <f>D191</f>
        <v>#DIV/0!</v>
      </c>
      <c r="E209" t="s">
        <v>8</v>
      </c>
      <c r="K209" s="6"/>
    </row>
    <row r="210" spans="2:11" x14ac:dyDescent="0.2">
      <c r="B210" s="351" t="str">
        <f ca="1">OFFSET(Sprachen!A556,0,'START, DÉBUT, INIZIO'!$D$4-1,1,1)</f>
        <v>Kosten für die Elektrizität für Zubringerpumpen</v>
      </c>
      <c r="C210" s="307">
        <f t="shared" si="37"/>
        <v>5</v>
      </c>
      <c r="D210" s="6">
        <f>D187</f>
        <v>0</v>
      </c>
      <c r="E210" t="s">
        <v>8</v>
      </c>
      <c r="K210" s="6"/>
    </row>
    <row r="211" spans="2:11" x14ac:dyDescent="0.2">
      <c r="B211" s="14" t="str">
        <f ca="1">OFFSET(Sprachen!A557,0,'START, DÉBUT, INIZIO'!$D$4-1,1,1)</f>
        <v>Kosten für die Elektrizität für Umwälzpumpen</v>
      </c>
      <c r="C211" s="307">
        <f t="shared" si="37"/>
        <v>6</v>
      </c>
      <c r="D211" s="6">
        <f>D188</f>
        <v>0</v>
      </c>
      <c r="E211" t="s">
        <v>8</v>
      </c>
      <c r="K211" s="6"/>
    </row>
    <row r="212" spans="2:11" x14ac:dyDescent="0.2">
      <c r="B212" s="351" t="str">
        <f ca="1">OFFSET(Sprachen!A558,0,'START, DÉBUT, INIZIO'!$D$4-1,1,1)</f>
        <v>Eigenkapitalgewinnsteuer</v>
      </c>
      <c r="C212" s="307">
        <f t="shared" si="37"/>
        <v>7</v>
      </c>
      <c r="D212" s="6">
        <f>D198</f>
        <v>0</v>
      </c>
      <c r="E212" t="s">
        <v>8</v>
      </c>
      <c r="K212" s="6"/>
    </row>
    <row r="213" spans="2:11" x14ac:dyDescent="0.2">
      <c r="B213" s="14" t="str">
        <f ca="1">OFFSET(Sprachen!A559,0,'START, DÉBUT, INIZIO'!$D$4-1,1,1)</f>
        <v xml:space="preserve">Gewinnsteuer auf zurückbehaltenem übersteigendem Anteil </v>
      </c>
      <c r="C213" s="307">
        <f t="shared" si="37"/>
        <v>8</v>
      </c>
      <c r="D213" s="6" t="e">
        <f>D199</f>
        <v>#DIV/0!</v>
      </c>
      <c r="E213" t="s">
        <v>8</v>
      </c>
      <c r="K213" s="6"/>
    </row>
    <row r="214" spans="2:11" ht="13.5" thickBot="1" x14ac:dyDescent="0.25">
      <c r="B214" s="360" t="str">
        <f ca="1">OFFSET(Sprachen!A560,0,'START, DÉBUT, INIZIO'!$D$4-1,1,1)</f>
        <v>Zurückbahaltener übersteigender Anteil</v>
      </c>
      <c r="C214" s="307">
        <f t="shared" si="37"/>
        <v>9</v>
      </c>
      <c r="D214" s="6" t="e">
        <f>E202</f>
        <v>#DIV/0!</v>
      </c>
      <c r="E214" t="s">
        <v>8</v>
      </c>
      <c r="K214" s="6"/>
    </row>
    <row r="215" spans="2:11" s="235" customFormat="1" ht="21" customHeight="1" thickBot="1" x14ac:dyDescent="0.25">
      <c r="B215" s="387" t="str">
        <f ca="1">OFFSET(Sprachen!A561,0,'START, DÉBUT, INIZIO'!$D$4-1,1,1)</f>
        <v>Jahreskosten aus Investition</v>
      </c>
      <c r="C215" s="378">
        <f t="shared" si="37"/>
        <v>10</v>
      </c>
      <c r="D215" s="390" t="e">
        <f>SUM(D206:D214)</f>
        <v>#DIV/0!</v>
      </c>
      <c r="E215" s="388" t="s">
        <v>8</v>
      </c>
      <c r="K215" s="384"/>
    </row>
    <row r="216" spans="2:11" ht="21" customHeight="1" x14ac:dyDescent="0.2">
      <c r="B216" s="14" t="str">
        <f ca="1">OFFSET(Sprachen!A562,0,'START, DÉBUT, INIZIO'!$D$4-1,1,1)</f>
        <v>Day-Ahead-Verkauf</v>
      </c>
      <c r="C216" s="5">
        <f t="shared" si="37"/>
        <v>11</v>
      </c>
      <c r="D216" s="6">
        <f>D181</f>
        <v>0</v>
      </c>
      <c r="E216" t="s">
        <v>8</v>
      </c>
      <c r="K216" s="6"/>
    </row>
    <row r="217" spans="2:11" x14ac:dyDescent="0.2">
      <c r="B217" s="14" t="str">
        <f ca="1">OFFSET(Sprachen!A563,0,'START, DÉBUT, INIZIO'!$D$4-1,1,1)</f>
        <v>Terminmarktabsicherung</v>
      </c>
      <c r="C217" s="307">
        <f t="shared" si="37"/>
        <v>12</v>
      </c>
      <c r="D217" s="6">
        <f>D182</f>
        <v>0</v>
      </c>
      <c r="E217" t="s">
        <v>8</v>
      </c>
      <c r="K217" s="6"/>
    </row>
    <row r="218" spans="2:11" x14ac:dyDescent="0.2">
      <c r="B218" s="14" t="str">
        <f ca="1">OFFSET(Sprachen!A564,0,'START, DÉBUT, INIZIO'!$D$4-1,1,1)</f>
        <v>Systemdienstleistungsmarkt</v>
      </c>
      <c r="C218" s="307">
        <f t="shared" si="37"/>
        <v>13</v>
      </c>
      <c r="D218" s="6">
        <f ca="1">D183</f>
        <v>0</v>
      </c>
      <c r="E218" t="s">
        <v>8</v>
      </c>
      <c r="K218" s="6"/>
    </row>
    <row r="219" spans="2:11" x14ac:dyDescent="0.2">
      <c r="B219" s="14" t="str">
        <f ca="1">OFFSET(Sprachen!A565,0,'START, DÉBUT, INIZIO'!$D$4-1,1,1)</f>
        <v>Herkunftsnachweise</v>
      </c>
      <c r="C219" s="307">
        <f t="shared" si="37"/>
        <v>14</v>
      </c>
      <c r="D219" s="6" t="e">
        <f>D184</f>
        <v>#DIV/0!</v>
      </c>
      <c r="E219" t="s">
        <v>8</v>
      </c>
      <c r="K219" s="6"/>
    </row>
    <row r="220" spans="2:11" ht="13.5" thickBot="1" x14ac:dyDescent="0.25">
      <c r="B220" s="14" t="str">
        <f ca="1">OFFSET(Sprachen!A566,0,'START, DÉBUT, INIZIO'!$D$4-1,1,1)</f>
        <v>Winterreserve</v>
      </c>
      <c r="C220" s="307">
        <f t="shared" si="37"/>
        <v>15</v>
      </c>
      <c r="D220" s="6">
        <f>D185</f>
        <v>0</v>
      </c>
      <c r="E220" t="s">
        <v>8</v>
      </c>
      <c r="K220" s="6"/>
    </row>
    <row r="221" spans="2:11" s="235" customFormat="1" ht="21" customHeight="1" thickBot="1" x14ac:dyDescent="0.25">
      <c r="B221" s="387" t="str">
        <f ca="1">OFFSET(Sprachen!A567,0,'START, DÉBUT, INIZIO'!$D$4-1,1,1)</f>
        <v>Erlös aus Investition</v>
      </c>
      <c r="C221" s="378">
        <f t="shared" si="37"/>
        <v>16</v>
      </c>
      <c r="D221" s="390" t="e">
        <f ca="1">SUM(D216:D220)</f>
        <v>#DIV/0!</v>
      </c>
      <c r="E221" s="388" t="s">
        <v>8</v>
      </c>
      <c r="K221" s="384"/>
    </row>
    <row r="222" spans="2:11" ht="35.1" customHeight="1" x14ac:dyDescent="0.2">
      <c r="B222" s="410" t="str">
        <f ca="1">OFFSET(Sprachen!A568,0,'START, DÉBUT, INIZIO'!$D$4-1,1,1)</f>
        <v>Mehrproduktion aus Investition (ohne neue Speicherkapazität)</v>
      </c>
      <c r="C222" s="307">
        <f t="shared" si="37"/>
        <v>17</v>
      </c>
      <c r="D222" s="409">
        <f>'2 Techn. Angaben &amp; Produktion'!R55</f>
        <v>0</v>
      </c>
      <c r="E222" s="235" t="s">
        <v>9</v>
      </c>
      <c r="K222" s="6"/>
    </row>
    <row r="223" spans="2:11" ht="13.5" thickBot="1" x14ac:dyDescent="0.25">
      <c r="B223" s="351" t="str">
        <f ca="1">OFFSET(Sprachen!A569,0,'START, DÉBUT, INIZIO'!$D$4-1,1,1)</f>
        <v>Neue Speicherkapazität</v>
      </c>
      <c r="C223" s="307">
        <f t="shared" si="37"/>
        <v>18</v>
      </c>
      <c r="D223" s="6" t="e">
        <f ca="1">'2 Techn. Angaben &amp; Produktion'!V55</f>
        <v>#DIV/0!</v>
      </c>
      <c r="E223" t="s">
        <v>9</v>
      </c>
      <c r="K223" s="6"/>
    </row>
    <row r="224" spans="2:11" s="235" customFormat="1" ht="35.1" customHeight="1" thickBot="1" x14ac:dyDescent="0.25">
      <c r="B224" s="411" t="str">
        <f ca="1">OFFSET(Sprachen!A571,0,'START, DÉBUT, INIZIO'!$D$4-1,1,1)</f>
        <v>Mehrproduktion aus Investition (inkl. neue Speicherkapazität)</v>
      </c>
      <c r="C224" s="378">
        <f t="shared" si="37"/>
        <v>19</v>
      </c>
      <c r="D224" s="390">
        <f>'2 Techn. Angaben &amp; Produktion'!AB55</f>
        <v>0</v>
      </c>
      <c r="E224" s="388" t="s">
        <v>9</v>
      </c>
      <c r="K224" s="384"/>
    </row>
    <row r="225" spans="1:18" ht="21" customHeight="1" x14ac:dyDescent="0.2">
      <c r="A225" s="351"/>
      <c r="B225" s="351" t="str">
        <f ca="1">OFFSET(Sprachen!A572,0,'START, DÉBUT, INIZIO'!$D$4-1,1,1)</f>
        <v>Referenz-Marktpreis</v>
      </c>
      <c r="C225" s="5">
        <f t="shared" si="37"/>
        <v>20</v>
      </c>
      <c r="D225" s="352" t="e">
        <f ca="1">D221/D224</f>
        <v>#DIV/0!</v>
      </c>
      <c r="E225" t="s">
        <v>10</v>
      </c>
      <c r="K225" s="352"/>
    </row>
    <row r="226" spans="1:18" x14ac:dyDescent="0.2">
      <c r="A226" s="351"/>
      <c r="B226" s="351" t="str">
        <f ca="1">OFFSET(Sprachen!A573,0,'START, DÉBUT, INIZIO'!$D$4-1,1,1)</f>
        <v>Vergütungssatz berechnet</v>
      </c>
      <c r="C226" s="307">
        <f t="shared" si="37"/>
        <v>21</v>
      </c>
      <c r="D226" s="352" t="e">
        <f>D215/D224</f>
        <v>#DIV/0!</v>
      </c>
      <c r="E226" t="s">
        <v>10</v>
      </c>
      <c r="K226" s="352"/>
    </row>
    <row r="227" spans="1:18" x14ac:dyDescent="0.2">
      <c r="A227" s="351"/>
      <c r="B227" s="14" t="str">
        <f ca="1">OFFSET(Sprachen!A626,0,'START, DÉBUT, INIZIO'!$D$4-1,1,1)</f>
        <v>maximaler Vergütungssatz</v>
      </c>
      <c r="C227" s="307">
        <v>22</v>
      </c>
      <c r="D227" s="313">
        <f>Vorgaben!K6</f>
        <v>100</v>
      </c>
      <c r="E227" t="s">
        <v>10</v>
      </c>
      <c r="K227" s="352"/>
    </row>
    <row r="228" spans="1:18" x14ac:dyDescent="0.2">
      <c r="A228" s="351"/>
      <c r="B228" s="351" t="str">
        <f ca="1">OFFSET(Sprachen!A574,0,'START, DÉBUT, INIZIO'!$D$4-1,1,1)</f>
        <v>Vergütungssatz</v>
      </c>
      <c r="C228" s="307">
        <v>23</v>
      </c>
      <c r="D228" s="760" t="e">
        <f>IF(D226&gt;D227,D227,D226)</f>
        <v>#DIV/0!</v>
      </c>
      <c r="E228" t="s">
        <v>10</v>
      </c>
      <c r="K228" s="352"/>
    </row>
    <row r="229" spans="1:18" ht="13.5" thickBot="1" x14ac:dyDescent="0.25">
      <c r="A229" s="351"/>
      <c r="B229" s="351" t="str">
        <f ca="1">OFFSET(Sprachen!A575,0,'START, DÉBUT, INIZIO'!$D$4-1,1,1)</f>
        <v>gMP mit Berücksichtigung des max. Vergütungssatzes (spezifisch)</v>
      </c>
      <c r="C229" s="307">
        <f>C226+1</f>
        <v>22</v>
      </c>
      <c r="D229" s="352" t="e">
        <f>IF(D226&lt;F226,D226-D225,F226-D225)</f>
        <v>#DIV/0!</v>
      </c>
      <c r="E229" t="s">
        <v>10</v>
      </c>
      <c r="K229" s="352"/>
    </row>
    <row r="230" spans="1:18" s="235" customFormat="1" ht="21" customHeight="1" thickBot="1" x14ac:dyDescent="0.25">
      <c r="A230" s="379"/>
      <c r="B230" s="380" t="str">
        <f ca="1">OFFSET(Sprachen!A576,0,'START, DÉBUT, INIZIO'!$D$4-1,1,1)</f>
        <v>gMP mit Berücksichtigung des max. Vergütungssatzes (absolut)</v>
      </c>
      <c r="C230" s="412">
        <f t="shared" si="37"/>
        <v>23</v>
      </c>
      <c r="D230" s="385" t="e">
        <f>D224*D229</f>
        <v>#DIV/0!</v>
      </c>
      <c r="E230" s="381" t="str">
        <f ca="1">OFFSET(Sprachen!A577,0,'START, DÉBUT, INIZIO'!$D$4-1,1,1)</f>
        <v>CHF, + vom NZF zum Projekt, - vom Projekt zum NZF</v>
      </c>
      <c r="F230" s="382"/>
      <c r="G230" s="382"/>
      <c r="H230" s="383"/>
      <c r="K230" s="384"/>
    </row>
    <row r="231" spans="1:18" ht="13.5" thickBot="1" x14ac:dyDescent="0.25">
      <c r="A231" s="271"/>
      <c r="B231" s="371"/>
      <c r="C231" s="371"/>
      <c r="D231" s="371"/>
      <c r="E231" s="371"/>
      <c r="F231" s="371"/>
      <c r="G231" s="271"/>
      <c r="H231" s="271"/>
      <c r="I231" s="271"/>
      <c r="J231" s="271"/>
      <c r="K231" s="271"/>
      <c r="L231" s="271"/>
      <c r="M231" s="271"/>
      <c r="N231" s="271"/>
      <c r="O231" s="271"/>
      <c r="P231" s="271"/>
      <c r="Q231" s="271"/>
      <c r="R231" s="271"/>
    </row>
    <row r="232" spans="1:18" ht="26.1" customHeight="1" x14ac:dyDescent="0.2">
      <c r="A232" s="12" t="str">
        <f ca="1">OFFSET(Sprachen!A578,0,'START, DÉBUT, INIZIO'!$D$4-1,1,1)</f>
        <v>Jährlich zu bestimmender Prozentsatz zur Ermittlung der Mehrproduktion aus Investition, der Betriebskosten und den Abgaben</v>
      </c>
      <c r="B232" s="1"/>
      <c r="C232" s="1"/>
      <c r="D232" s="3"/>
      <c r="E232" s="1"/>
    </row>
    <row r="233" spans="1:18" x14ac:dyDescent="0.2">
      <c r="B233" s="332" t="str">
        <f ca="1">OFFSET(Sprachen!A579,0,'START, DÉBUT, INIZIO'!$D$4-1,1,1)</f>
        <v>Mehrerlös aus Investition (nur Day-Ahead)</v>
      </c>
      <c r="C233" s="307">
        <v>1</v>
      </c>
      <c r="D233" s="409">
        <f>D216</f>
        <v>0</v>
      </c>
      <c r="E233" s="4" t="s">
        <v>8</v>
      </c>
    </row>
    <row r="234" spans="1:18" x14ac:dyDescent="0.2">
      <c r="B234" s="332" t="str">
        <f ca="1">OFFSET(Sprachen!A580,0,'START, DÉBUT, INIZIO'!$D$4-1,1,1)</f>
        <v>Gesamterlös aus Investition (nur Day-Ahead)</v>
      </c>
      <c r="C234" s="307">
        <f>C233+1</f>
        <v>2</v>
      </c>
      <c r="D234" s="409">
        <f>H82</f>
        <v>0</v>
      </c>
      <c r="E234" s="4" t="s">
        <v>8</v>
      </c>
    </row>
    <row r="235" spans="1:18" x14ac:dyDescent="0.2">
      <c r="B235" s="3" t="str">
        <f ca="1">OFFSET(Sprachen!A581,0,'START, DÉBUT, INIZIO'!$D$4-1,1,1)</f>
        <v>Prozentsatz</v>
      </c>
      <c r="C235" s="307">
        <f>C234+1</f>
        <v>3</v>
      </c>
      <c r="D235" s="376" t="e">
        <f>D233/D234</f>
        <v>#DIV/0!</v>
      </c>
    </row>
    <row r="236" spans="1:18" ht="13.5" thickBot="1" x14ac:dyDescent="0.25">
      <c r="A236" s="271"/>
      <c r="B236" s="371"/>
      <c r="C236" s="371"/>
      <c r="D236" s="371"/>
      <c r="E236" s="375"/>
      <c r="F236" s="371"/>
      <c r="G236" s="271"/>
      <c r="H236" s="271"/>
      <c r="I236" s="271"/>
      <c r="J236" s="271"/>
      <c r="K236" s="271"/>
      <c r="L236" s="271"/>
      <c r="M236" s="271"/>
      <c r="N236" s="271"/>
      <c r="O236" s="271"/>
      <c r="P236" s="271"/>
      <c r="Q236" s="271"/>
      <c r="R236" s="271"/>
    </row>
    <row r="237" spans="1:18" ht="26.1" customHeight="1" x14ac:dyDescent="0.2">
      <c r="A237" s="12"/>
      <c r="B237" s="1"/>
      <c r="C237" s="1"/>
      <c r="D237" s="3"/>
      <c r="E237" s="1"/>
    </row>
  </sheetData>
  <sheetProtection algorithmName="SHA-512" hashValue="9Ni+DIvDpglCIqj2TMjECHLdVX666kGQCNQwm0WrB1rpCoRVoCEWyrQhKocqseWbiEI5QB6IFk0MjvIIHowyNg==" saltValue="VawH4GS3MgqwCLgr3LCdTQ==" spinCount="100000" sheet="1" objects="1" scenarios="1"/>
  <mergeCells count="28">
    <mergeCell ref="E59:I59"/>
    <mergeCell ref="G26:H26"/>
    <mergeCell ref="J26:K26"/>
    <mergeCell ref="E42:I42"/>
    <mergeCell ref="D43:E43"/>
    <mergeCell ref="G43:H43"/>
    <mergeCell ref="J43:K43"/>
    <mergeCell ref="M86:T86"/>
    <mergeCell ref="D88:E88"/>
    <mergeCell ref="G88:H88"/>
    <mergeCell ref="M88:N88"/>
    <mergeCell ref="P88:Q88"/>
    <mergeCell ref="D1:D2"/>
    <mergeCell ref="E205:I205"/>
    <mergeCell ref="E109:I109"/>
    <mergeCell ref="E126:I126"/>
    <mergeCell ref="E132:I132"/>
    <mergeCell ref="E137:I137"/>
    <mergeCell ref="E144:I144"/>
    <mergeCell ref="E178:I178"/>
    <mergeCell ref="D68:E68"/>
    <mergeCell ref="G68:H68"/>
    <mergeCell ref="D86:K86"/>
    <mergeCell ref="F14:R14"/>
    <mergeCell ref="F15:R15"/>
    <mergeCell ref="E67:I67"/>
    <mergeCell ref="E25:I25"/>
    <mergeCell ref="D26:E26"/>
  </mergeCells>
  <hyperlinks>
    <hyperlink ref="D1" location="'START, DÉBUT, INIZIO'!A1" display="START / DÉBUT / INIZIO" xr:uid="{37E048FF-8A10-447A-ABA1-940649801252}"/>
  </hyperlinks>
  <pageMargins left="0.7" right="0.7" top="0.78740157499999996" bottom="0.78740157499999996" header="0.3" footer="0.3"/>
  <pageSetup paperSize="9" orientation="portrait" r:id="rId1"/>
  <ignoredErrors>
    <ignoredError sqref="C22 E141"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 id="{6EA48A09-1403-40E4-9C9E-8E7568E9D486}">
            <xm:f>'START, DÉBUT, INIZIO'!$E$35&lt;&gt;3</xm:f>
            <x14:dxf>
              <font>
                <color theme="0" tint="-0.14996795556505021"/>
              </font>
              <fill>
                <patternFill patternType="none">
                  <bgColor auto="1"/>
                </patternFill>
              </fill>
            </x14:dxf>
          </x14:cfRule>
          <xm:sqref>A1:XFD1048576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1490-17F4-4FCF-A853-185824CE8A8D}">
  <sheetPr>
    <tabColor rgb="FFFFC000"/>
  </sheetPr>
  <dimension ref="A1:R92"/>
  <sheetViews>
    <sheetView showGridLines="0" zoomScaleNormal="100" workbookViewId="0">
      <selection activeCell="D87" sqref="D87"/>
    </sheetView>
  </sheetViews>
  <sheetFormatPr baseColWidth="10" defaultRowHeight="12.75" x14ac:dyDescent="0.2"/>
  <cols>
    <col min="1" max="1" width="6.7109375" customWidth="1"/>
    <col min="2" max="2" width="70.85546875" customWidth="1"/>
    <col min="3" max="3" width="6.28515625" customWidth="1"/>
    <col min="4" max="4" width="16.85546875" customWidth="1"/>
    <col min="5" max="5" width="22.7109375" bestFit="1" customWidth="1"/>
    <col min="6" max="6" width="13.28515625" customWidth="1"/>
    <col min="7" max="7" width="15.42578125" customWidth="1"/>
    <col min="8" max="8" width="15.5703125" customWidth="1"/>
    <col min="9" max="9" width="11.140625" customWidth="1"/>
    <col min="10" max="10" width="15.42578125" customWidth="1"/>
    <col min="11" max="11" width="16.7109375" customWidth="1"/>
    <col min="12" max="12" width="13.42578125" customWidth="1"/>
    <col min="13" max="14" width="16.140625" customWidth="1"/>
    <col min="15" max="15" width="12.42578125" customWidth="1"/>
    <col min="16" max="17" width="15.28515625" customWidth="1"/>
    <col min="18" max="18" width="12.28515625" customWidth="1"/>
    <col min="21" max="21" width="12" customWidth="1"/>
    <col min="22" max="22" width="4.5703125" customWidth="1"/>
    <col min="24" max="24" width="14.42578125" customWidth="1"/>
    <col min="25" max="25" width="10.7109375" customWidth="1"/>
    <col min="27" max="27" width="16.28515625" customWidth="1"/>
  </cols>
  <sheetData>
    <row r="1" spans="1:18" ht="15.75" customHeight="1" x14ac:dyDescent="0.2">
      <c r="A1" s="1" t="str">
        <f ca="1">DropDown!$A$2</f>
        <v>Neuanlage</v>
      </c>
      <c r="D1" s="901" t="s">
        <v>1582</v>
      </c>
    </row>
    <row r="2" spans="1:18" x14ac:dyDescent="0.2">
      <c r="A2" s="1" t="str">
        <f ca="1">CONCATENATE(DropDown!$A$8," / ",DropDown!$A$9)</f>
        <v>nicht steuerbar &amp; &gt; 3 MWbr / &lt;= 3 MWbr</v>
      </c>
      <c r="D2" s="901"/>
    </row>
    <row r="3" spans="1:18" s="236" customFormat="1" ht="12.75" customHeight="1" thickBot="1" x14ac:dyDescent="0.25">
      <c r="A3" s="279">
        <f>'START, DÉBUT, INIZIO'!$C$21</f>
        <v>0</v>
      </c>
      <c r="B3" s="237"/>
      <c r="C3" s="237"/>
      <c r="D3" s="237"/>
      <c r="E3" s="237"/>
      <c r="F3" s="237"/>
      <c r="G3" s="237"/>
      <c r="H3" s="237"/>
      <c r="I3" s="237"/>
      <c r="J3" s="237"/>
      <c r="K3" s="237"/>
      <c r="L3" s="237"/>
      <c r="M3" s="237"/>
      <c r="N3" s="237"/>
      <c r="O3" s="237"/>
      <c r="P3" s="237"/>
      <c r="Q3" s="237"/>
      <c r="R3" s="237"/>
    </row>
    <row r="4" spans="1:18" s="236" customFormat="1" ht="25.5" customHeight="1" x14ac:dyDescent="0.2">
      <c r="A4" s="684">
        <v>4.4000000000000004</v>
      </c>
      <c r="B4" s="685" t="str">
        <f ca="1">OFFSET(Sprachen!A405,0,'START, DÉBUT, INIZIO'!$D$4-1,1,1)</f>
        <v>Jahreskosten</v>
      </c>
      <c r="C4" s="686"/>
      <c r="D4" s="686"/>
      <c r="E4" s="686"/>
      <c r="F4" s="686"/>
      <c r="G4" s="686"/>
      <c r="H4" s="686"/>
      <c r="I4" s="686"/>
      <c r="J4" s="686"/>
      <c r="K4" s="686"/>
      <c r="L4" s="686"/>
      <c r="M4" s="686"/>
      <c r="N4" s="686"/>
      <c r="O4" s="686"/>
      <c r="P4" s="686"/>
      <c r="Q4" s="686"/>
      <c r="R4" s="686"/>
    </row>
    <row r="5" spans="1:18" ht="26.1" customHeight="1" x14ac:dyDescent="0.2">
      <c r="A5" s="12" t="str">
        <f ca="1">OFFSET(Sprachen!A406,0,'START, DÉBUT, INIZIO'!$D$4-1,1,1)</f>
        <v>Investitionsbedingte Kosten für Kapital (Abschreibung + EK + FK)</v>
      </c>
      <c r="B5" s="268"/>
      <c r="C5" s="268"/>
      <c r="D5" s="3"/>
      <c r="E5" s="269"/>
      <c r="F5" s="269"/>
      <c r="G5" s="269"/>
      <c r="I5" s="1"/>
    </row>
    <row r="6" spans="1:18" x14ac:dyDescent="0.2">
      <c r="C6" s="306">
        <v>1</v>
      </c>
      <c r="D6" s="308">
        <f>'3 Investitionskosten'!$W$13</f>
        <v>0</v>
      </c>
      <c r="E6" s="312" t="s">
        <v>123</v>
      </c>
      <c r="F6" s="309" t="str">
        <f ca="1">OFFSET(Sprachen!A407,0,'START, DÉBUT, INIZIO'!$D$4-1,1,1)</f>
        <v>Anrechenbare Annuität</v>
      </c>
    </row>
    <row r="7" spans="1:18" ht="13.5" thickBot="1" x14ac:dyDescent="0.25">
      <c r="A7" s="271"/>
      <c r="B7" s="271"/>
      <c r="C7" s="271"/>
      <c r="D7" s="271"/>
      <c r="E7" s="271"/>
      <c r="F7" s="271"/>
      <c r="G7" s="271"/>
      <c r="H7" s="271"/>
      <c r="I7" s="271"/>
      <c r="J7" s="271"/>
      <c r="K7" s="271"/>
      <c r="L7" s="271"/>
      <c r="M7" s="271"/>
      <c r="N7" s="271"/>
      <c r="O7" s="271"/>
      <c r="P7" s="271"/>
      <c r="Q7" s="271"/>
      <c r="R7" s="271"/>
    </row>
    <row r="8" spans="1:18" ht="26.1" customHeight="1" x14ac:dyDescent="0.2">
      <c r="A8" s="12" t="str">
        <f ca="1">OFFSET(Sprachen!A408,0,'START, DÉBUT, INIZIO'!$D$4-1,1,1)</f>
        <v>Investitionsbedingte Kosten für Betrieb</v>
      </c>
      <c r="B8" s="268"/>
      <c r="C8" s="268"/>
      <c r="D8" s="3"/>
      <c r="E8" s="318"/>
      <c r="F8" s="1" t="str">
        <f ca="1">OFFSET(Sprachen!A412,0,'START, DÉBUT, INIZIO'!$D$4-1,1,1)</f>
        <v>Beschreibung</v>
      </c>
      <c r="G8" s="269"/>
      <c r="I8" s="1"/>
    </row>
    <row r="9" spans="1:18" x14ac:dyDescent="0.2">
      <c r="C9" s="306">
        <v>1</v>
      </c>
      <c r="D9" s="792"/>
      <c r="E9" s="310" t="s">
        <v>123</v>
      </c>
      <c r="F9" s="902"/>
      <c r="G9" s="902"/>
      <c r="H9" s="902"/>
      <c r="I9" s="902"/>
      <c r="J9" s="902"/>
      <c r="K9" s="902"/>
      <c r="L9" s="902"/>
      <c r="M9" s="902"/>
      <c r="N9" s="902"/>
      <c r="O9" s="902"/>
      <c r="P9" s="902"/>
      <c r="Q9" s="902"/>
      <c r="R9" s="902"/>
    </row>
    <row r="10" spans="1:18" x14ac:dyDescent="0.2">
      <c r="C10" s="307">
        <f t="shared" ref="C10:C14" si="0">C9+1</f>
        <v>2</v>
      </c>
      <c r="D10" s="792"/>
      <c r="E10" s="310" t="s">
        <v>123</v>
      </c>
      <c r="F10" s="902"/>
      <c r="G10" s="902"/>
      <c r="H10" s="902"/>
      <c r="I10" s="902"/>
      <c r="J10" s="902"/>
      <c r="K10" s="902"/>
      <c r="L10" s="902"/>
      <c r="M10" s="902"/>
      <c r="N10" s="902"/>
      <c r="O10" s="902"/>
      <c r="P10" s="902"/>
      <c r="Q10" s="902"/>
      <c r="R10" s="902"/>
    </row>
    <row r="11" spans="1:18" x14ac:dyDescent="0.2">
      <c r="C11" s="307">
        <f t="shared" si="0"/>
        <v>3</v>
      </c>
      <c r="D11" s="792"/>
      <c r="E11" s="310" t="s">
        <v>123</v>
      </c>
      <c r="F11" s="902"/>
      <c r="G11" s="902"/>
      <c r="H11" s="902"/>
      <c r="I11" s="902"/>
      <c r="J11" s="902"/>
      <c r="K11" s="902"/>
      <c r="L11" s="902"/>
      <c r="M11" s="902"/>
      <c r="N11" s="902"/>
      <c r="O11" s="902"/>
      <c r="P11" s="902"/>
      <c r="Q11" s="902"/>
      <c r="R11" s="902"/>
    </row>
    <row r="12" spans="1:18" x14ac:dyDescent="0.2">
      <c r="C12" s="307">
        <f t="shared" si="0"/>
        <v>4</v>
      </c>
      <c r="D12" s="792"/>
      <c r="E12" s="310" t="s">
        <v>123</v>
      </c>
      <c r="F12" s="902"/>
      <c r="G12" s="902"/>
      <c r="H12" s="902"/>
      <c r="I12" s="902"/>
      <c r="J12" s="902"/>
      <c r="K12" s="902"/>
      <c r="L12" s="902"/>
      <c r="M12" s="902"/>
      <c r="N12" s="902"/>
      <c r="O12" s="902"/>
      <c r="P12" s="902"/>
      <c r="Q12" s="902"/>
      <c r="R12" s="902"/>
    </row>
    <row r="13" spans="1:18" x14ac:dyDescent="0.2">
      <c r="C13" s="307">
        <f t="shared" si="0"/>
        <v>5</v>
      </c>
      <c r="D13" s="792"/>
      <c r="E13" s="310" t="s">
        <v>123</v>
      </c>
      <c r="F13" s="902"/>
      <c r="G13" s="902"/>
      <c r="H13" s="902"/>
      <c r="I13" s="902"/>
      <c r="J13" s="902"/>
      <c r="K13" s="902"/>
      <c r="L13" s="902"/>
      <c r="M13" s="902"/>
      <c r="N13" s="902"/>
      <c r="O13" s="902"/>
      <c r="P13" s="902"/>
      <c r="Q13" s="902"/>
      <c r="R13" s="902"/>
    </row>
    <row r="14" spans="1:18" x14ac:dyDescent="0.2">
      <c r="C14" s="307">
        <f t="shared" si="0"/>
        <v>6</v>
      </c>
      <c r="D14" s="792"/>
      <c r="E14" s="310" t="s">
        <v>123</v>
      </c>
      <c r="F14" s="902"/>
      <c r="G14" s="902"/>
      <c r="H14" s="902"/>
      <c r="I14" s="902"/>
      <c r="J14" s="902"/>
      <c r="K14" s="902"/>
      <c r="L14" s="902"/>
      <c r="M14" s="902"/>
      <c r="N14" s="902"/>
      <c r="O14" s="902"/>
      <c r="P14" s="902"/>
      <c r="Q14" s="902"/>
      <c r="R14" s="902"/>
    </row>
    <row r="15" spans="1:18" x14ac:dyDescent="0.2">
      <c r="C15" s="5">
        <f t="shared" ref="C15:C17" si="1">C14+1</f>
        <v>7</v>
      </c>
      <c r="D15" s="6">
        <f>SUM(D9:D14)</f>
        <v>0</v>
      </c>
      <c r="E15" s="310" t="s">
        <v>123</v>
      </c>
      <c r="F15" s="1" t="str">
        <f ca="1">OFFSET(Sprachen!A413,0,'START, DÉBUT, INIZIO'!$D$4-1,1,1)</f>
        <v>Total</v>
      </c>
    </row>
    <row r="16" spans="1:18" x14ac:dyDescent="0.2">
      <c r="C16" s="5">
        <f t="shared" si="1"/>
        <v>8</v>
      </c>
      <c r="D16" s="6">
        <f>0.02*'3 Investitionskosten'!$N$13</f>
        <v>0</v>
      </c>
      <c r="E16" s="310" t="s">
        <v>123</v>
      </c>
      <c r="F16" s="1" t="str">
        <f ca="1">OFFSET(Sprachen!A414,0,'START, DÉBUT, INIZIO'!$D$4-1,1,1)</f>
        <v>entsprechen 2% der anrechenbaren Investitionen</v>
      </c>
    </row>
    <row r="17" spans="1:18" ht="19.5" customHeight="1" x14ac:dyDescent="0.2">
      <c r="C17" s="5">
        <f t="shared" si="1"/>
        <v>9</v>
      </c>
      <c r="D17" s="308">
        <f>IF(D15&lt;D16,D15,D16)</f>
        <v>0</v>
      </c>
      <c r="E17" s="311" t="s">
        <v>123</v>
      </c>
      <c r="F17" s="309" t="str">
        <f ca="1">OFFSET(Sprachen!A415,0,'START, DÉBUT, INIZIO'!$D$4-1,1,1)</f>
        <v>anrechenbare Betriebskosten</v>
      </c>
    </row>
    <row r="18" spans="1:18" ht="13.5" thickBot="1" x14ac:dyDescent="0.25">
      <c r="A18" s="271"/>
      <c r="B18" s="271"/>
      <c r="C18" s="271"/>
      <c r="D18" s="271"/>
      <c r="E18" s="271"/>
      <c r="F18" s="271"/>
      <c r="G18" s="271"/>
      <c r="H18" s="271"/>
      <c r="I18" s="271"/>
      <c r="J18" s="271"/>
      <c r="K18" s="271"/>
      <c r="L18" s="271"/>
      <c r="M18" s="271"/>
      <c r="N18" s="271"/>
      <c r="O18" s="271"/>
      <c r="P18" s="271"/>
      <c r="Q18" s="271"/>
      <c r="R18" s="271"/>
    </row>
    <row r="19" spans="1:18" ht="26.1" customHeight="1" x14ac:dyDescent="0.2">
      <c r="A19" s="12" t="str">
        <f ca="1">OFFSET(Sprachen!A416,0,'START, DÉBUT, INIZIO'!$D$4-1,1,1)</f>
        <v>Investitionsbedingte Kosten für Energiebewirtschaftung und -verwertung</v>
      </c>
      <c r="B19" s="268"/>
      <c r="C19" s="268"/>
      <c r="D19" s="3"/>
      <c r="E19" s="269"/>
      <c r="F19" s="1" t="str">
        <f ca="1">F8</f>
        <v>Beschreibung</v>
      </c>
      <c r="G19" s="269"/>
      <c r="I19" s="1"/>
    </row>
    <row r="20" spans="1:18" x14ac:dyDescent="0.2">
      <c r="B20" s="1" t="str">
        <f ca="1">OFFSET(Sprachen!A417,0,'START, DÉBUT, INIZIO'!$D$4-1,1,1)</f>
        <v>Anspruch</v>
      </c>
      <c r="C20" s="306">
        <v>1</v>
      </c>
      <c r="D20" s="3" t="str">
        <f>IF('2 Techn. Angaben &amp; Produktion'!$H$10&gt;=3,"ja","nein")</f>
        <v>nein</v>
      </c>
      <c r="E20" s="269"/>
      <c r="F20" s="900" t="str">
        <f ca="1">OFFSET(Sprachen!A423,0,'START, DÉBUT, INIZIO'!$D$4-1,1,1)</f>
        <v>Anspruch haben nur Anlagen, welche nach der Investition eine mechanische Bruttoleistung &gt; 3 MW haben.</v>
      </c>
      <c r="G20" s="900"/>
      <c r="H20" s="900"/>
      <c r="I20" s="900"/>
      <c r="J20" s="900"/>
      <c r="K20" s="900"/>
      <c r="L20" s="900"/>
      <c r="M20" s="900"/>
      <c r="N20" s="900"/>
      <c r="O20" s="900"/>
      <c r="P20" s="900"/>
      <c r="Q20" s="900"/>
      <c r="R20" s="900"/>
    </row>
    <row r="21" spans="1:18" x14ac:dyDescent="0.2">
      <c r="B21" s="1">
        <f>$A$3</f>
        <v>0</v>
      </c>
      <c r="C21" s="307">
        <f>C20+1</f>
        <v>2</v>
      </c>
      <c r="D21" s="313">
        <f ca="1">OFFSET(Sprachen!A422,0,'START, DÉBUT, INIZIO'!$D$4-1,1,1)</f>
        <v>0</v>
      </c>
      <c r="E21" s="1" t="s">
        <v>132</v>
      </c>
      <c r="F21" s="900" t="str">
        <f ca="1">OFFSET(Sprachen!A424,0,'START, DÉBUT, INIZIO'!$D$4-1,1,1)</f>
        <v>EnFV Anhang 6.1, Ziffer 4.1.1, Buchstabe c</v>
      </c>
      <c r="G21" s="900"/>
      <c r="H21" s="900"/>
      <c r="I21" s="900"/>
      <c r="J21" s="900"/>
      <c r="K21" s="900"/>
      <c r="L21" s="900"/>
      <c r="M21" s="900"/>
      <c r="N21" s="900"/>
      <c r="O21" s="900"/>
      <c r="P21" s="900"/>
      <c r="Q21" s="900"/>
      <c r="R21" s="900"/>
    </row>
    <row r="22" spans="1:18" x14ac:dyDescent="0.2">
      <c r="B22" s="1" t="str">
        <f ca="1">OFFSET(Sprachen!A418,0,'START, DÉBUT, INIZIO'!$D$4-1,1,1)</f>
        <v>Durch Investition bedingte Mehrproduktion netto</v>
      </c>
      <c r="C22" s="307">
        <f>C21+1</f>
        <v>3</v>
      </c>
      <c r="D22" s="6">
        <f>'2 Techn. Angaben &amp; Produktion'!$R$55</f>
        <v>0</v>
      </c>
      <c r="E22" s="1" t="s">
        <v>9</v>
      </c>
    </row>
    <row r="23" spans="1:18" ht="19.5" customHeight="1" x14ac:dyDescent="0.2">
      <c r="C23" s="5">
        <f>C22+1</f>
        <v>4</v>
      </c>
      <c r="D23" s="308">
        <f ca="1">D21*10*D22</f>
        <v>0</v>
      </c>
      <c r="E23" s="309" t="s">
        <v>123</v>
      </c>
      <c r="F23" s="309" t="str">
        <f ca="1">OFFSET(Sprachen!A425,0,'START, DÉBUT, INIZIO'!$D$4-1,1,1)</f>
        <v>anrechenbare Energiebewirtschaftungs- und Verwertungskosten</v>
      </c>
    </row>
    <row r="24" spans="1:18" ht="13.5" thickBot="1" x14ac:dyDescent="0.25">
      <c r="A24" s="271"/>
      <c r="B24" s="271"/>
      <c r="C24" s="271"/>
      <c r="D24" s="271"/>
      <c r="E24" s="271"/>
      <c r="F24" s="271"/>
      <c r="G24" s="271"/>
      <c r="H24" s="271"/>
      <c r="I24" s="271"/>
      <c r="J24" s="271"/>
      <c r="K24" s="271"/>
      <c r="L24" s="271"/>
      <c r="M24" s="271"/>
      <c r="N24" s="271"/>
      <c r="O24" s="271"/>
      <c r="P24" s="271"/>
      <c r="Q24" s="271"/>
      <c r="R24" s="271"/>
    </row>
    <row r="25" spans="1:18" ht="26.1" customHeight="1" x14ac:dyDescent="0.2">
      <c r="A25" s="12" t="str">
        <f ca="1">OFFSET(Sprachen!A426,0,'START, DÉBUT, INIZIO'!$D$4-1,1,1)</f>
        <v>Investitionsbedingte Kosten aus Abgaben und Leistungen an das Gemeinwesen</v>
      </c>
      <c r="B25" s="268"/>
      <c r="C25" s="268"/>
      <c r="D25" s="3"/>
      <c r="E25" s="318"/>
      <c r="F25" s="1" t="str">
        <f ca="1">F19</f>
        <v>Beschreibung</v>
      </c>
      <c r="G25" s="269"/>
      <c r="I25" s="1"/>
    </row>
    <row r="26" spans="1:18" x14ac:dyDescent="0.2">
      <c r="C26" s="306">
        <v>1</v>
      </c>
      <c r="D26" s="6">
        <f>'2 Techn. Angaben &amp; Produktion'!$J$10*1000*'2 Techn. Angaben &amp; Produktion'!$H$30</f>
        <v>0</v>
      </c>
      <c r="E26" s="310" t="s">
        <v>123</v>
      </c>
      <c r="F26" s="902" t="str">
        <f ca="1">OFFSET(Sprachen!A428,0,'START, DÉBUT, INIZIO'!$D$4-1,1,1)</f>
        <v>Wasserzins</v>
      </c>
      <c r="G26" s="902"/>
      <c r="H26" s="902"/>
      <c r="I26" s="902"/>
      <c r="J26" s="902"/>
      <c r="K26" s="902"/>
      <c r="L26" s="902"/>
      <c r="M26" s="902"/>
      <c r="N26" s="902"/>
      <c r="O26" s="902"/>
      <c r="P26" s="902"/>
      <c r="Q26" s="902"/>
      <c r="R26" s="902"/>
    </row>
    <row r="27" spans="1:18" x14ac:dyDescent="0.2">
      <c r="C27" s="307">
        <f t="shared" ref="C27:C31" si="2">C26+1</f>
        <v>2</v>
      </c>
      <c r="D27" s="791"/>
      <c r="E27" s="310" t="s">
        <v>123</v>
      </c>
      <c r="F27" s="902"/>
      <c r="G27" s="902"/>
      <c r="H27" s="902"/>
      <c r="I27" s="902"/>
      <c r="J27" s="902"/>
      <c r="K27" s="902"/>
      <c r="L27" s="902"/>
      <c r="M27" s="902"/>
      <c r="N27" s="902"/>
      <c r="O27" s="902"/>
      <c r="P27" s="902"/>
      <c r="Q27" s="902"/>
      <c r="R27" s="902"/>
    </row>
    <row r="28" spans="1:18" x14ac:dyDescent="0.2">
      <c r="C28" s="307">
        <f t="shared" si="2"/>
        <v>3</v>
      </c>
      <c r="D28" s="792"/>
      <c r="E28" s="310" t="s">
        <v>123</v>
      </c>
      <c r="F28" s="902"/>
      <c r="G28" s="902"/>
      <c r="H28" s="902"/>
      <c r="I28" s="902"/>
      <c r="J28" s="902"/>
      <c r="K28" s="902"/>
      <c r="L28" s="902"/>
      <c r="M28" s="902"/>
      <c r="N28" s="902"/>
      <c r="O28" s="902"/>
      <c r="P28" s="902"/>
      <c r="Q28" s="902"/>
      <c r="R28" s="902"/>
    </row>
    <row r="29" spans="1:18" x14ac:dyDescent="0.2">
      <c r="C29" s="307">
        <f t="shared" si="2"/>
        <v>4</v>
      </c>
      <c r="D29" s="792"/>
      <c r="E29" s="310" t="s">
        <v>123</v>
      </c>
      <c r="F29" s="902"/>
      <c r="G29" s="902"/>
      <c r="H29" s="902"/>
      <c r="I29" s="902"/>
      <c r="J29" s="902"/>
      <c r="K29" s="902"/>
      <c r="L29" s="902"/>
      <c r="M29" s="902"/>
      <c r="N29" s="902"/>
      <c r="O29" s="902"/>
      <c r="P29" s="902"/>
      <c r="Q29" s="902"/>
      <c r="R29" s="902"/>
    </row>
    <row r="30" spans="1:18" x14ac:dyDescent="0.2">
      <c r="C30" s="307">
        <f t="shared" si="2"/>
        <v>5</v>
      </c>
      <c r="D30" s="792"/>
      <c r="E30" s="310" t="s">
        <v>123</v>
      </c>
      <c r="F30" s="902"/>
      <c r="G30" s="902"/>
      <c r="H30" s="902"/>
      <c r="I30" s="902"/>
      <c r="J30" s="902"/>
      <c r="K30" s="902"/>
      <c r="L30" s="902"/>
      <c r="M30" s="902"/>
      <c r="N30" s="902"/>
      <c r="O30" s="902"/>
      <c r="P30" s="902"/>
      <c r="Q30" s="902"/>
      <c r="R30" s="902"/>
    </row>
    <row r="31" spans="1:18" x14ac:dyDescent="0.2">
      <c r="C31" s="307">
        <f t="shared" si="2"/>
        <v>6</v>
      </c>
      <c r="D31" s="792"/>
      <c r="E31" s="310" t="s">
        <v>123</v>
      </c>
      <c r="F31" s="902"/>
      <c r="G31" s="902"/>
      <c r="H31" s="902"/>
      <c r="I31" s="902"/>
      <c r="J31" s="902"/>
      <c r="K31" s="902"/>
      <c r="L31" s="902"/>
      <c r="M31" s="902"/>
      <c r="N31" s="902"/>
      <c r="O31" s="902"/>
      <c r="P31" s="902"/>
      <c r="Q31" s="902"/>
      <c r="R31" s="902"/>
    </row>
    <row r="32" spans="1:18" ht="19.5" customHeight="1" x14ac:dyDescent="0.2">
      <c r="C32" s="5">
        <f t="shared" ref="C32" si="3">C31+1</f>
        <v>7</v>
      </c>
      <c r="D32" s="308">
        <f>SUM(D26:D31)</f>
        <v>0</v>
      </c>
      <c r="E32" s="309" t="s">
        <v>123</v>
      </c>
      <c r="F32" s="309" t="str">
        <f ca="1">OFFSET(Sprachen!A429,0,'START, DÉBUT, INIZIO'!$D$4-1,1,1)</f>
        <v>Anrechenbare Abgaben und Leistungen an das Gemeinwesen</v>
      </c>
    </row>
    <row r="33" spans="1:18" ht="13.5" thickBot="1" x14ac:dyDescent="0.25">
      <c r="A33" s="271"/>
      <c r="B33" s="271"/>
      <c r="C33" s="271"/>
      <c r="D33" s="271"/>
      <c r="E33" s="271"/>
      <c r="F33" s="271"/>
      <c r="G33" s="271"/>
      <c r="H33" s="271"/>
      <c r="I33" s="271"/>
      <c r="J33" s="271"/>
      <c r="K33" s="271"/>
      <c r="L33" s="271"/>
      <c r="M33" s="271"/>
      <c r="N33" s="271"/>
      <c r="O33" s="271"/>
      <c r="P33" s="271"/>
      <c r="Q33" s="271"/>
      <c r="R33" s="271"/>
    </row>
    <row r="34" spans="1:18" ht="26.1" customHeight="1" x14ac:dyDescent="0.2">
      <c r="A34" s="12" t="str">
        <f ca="1">OFFSET(Sprachen!A430,0,'START, DÉBUT, INIZIO'!$D$4-1,1,1)</f>
        <v>Kosten für die Elektrizität für Zubringerpumpen</v>
      </c>
      <c r="B34" s="1"/>
      <c r="C34" s="1"/>
      <c r="D34" s="3"/>
      <c r="E34" s="900"/>
      <c r="F34" s="900"/>
      <c r="G34" s="900"/>
      <c r="H34" s="900"/>
      <c r="I34" s="900"/>
    </row>
    <row r="35" spans="1:18" ht="39.950000000000003" customHeight="1" x14ac:dyDescent="0.2">
      <c r="A35" s="12"/>
      <c r="B35" s="1"/>
      <c r="C35" s="1"/>
      <c r="D35" s="903" t="str">
        <f ca="1">OFFSET(Sprachen!A431,0,'START, DÉBUT, INIZIO'!$D$4-1,1,1)</f>
        <v>Preis investitionsbedingter Pumpenstrom (unter Annahme Projekt wäre bereits realisiert)</v>
      </c>
      <c r="E35" s="903"/>
      <c r="F35" s="1"/>
      <c r="G35" s="903" t="str">
        <f ca="1">OFFSET(Sprachen!A432,0,'START, DÉBUT, INIZIO'!$D$4-1,1,1)</f>
        <v>Investitionsbedingter Pumpenstrom Erwartungswert</v>
      </c>
      <c r="H35" s="903"/>
      <c r="I35" s="1"/>
      <c r="J35" s="903" t="str">
        <f ca="1">OFFSET(Sprachen!A433,0,'START, DÉBUT, INIZIO'!$D$4-1,1,1)</f>
        <v>Kosten investitionsbedingter Pumpenstrom (unter Annahme Projekt wäre bereits realisiert)</v>
      </c>
      <c r="K35" s="903"/>
    </row>
    <row r="36" spans="1:18" ht="13.5" thickBot="1" x14ac:dyDescent="0.25">
      <c r="A36" s="268"/>
      <c r="B36" s="1"/>
      <c r="C36" s="307"/>
      <c r="D36" s="271"/>
      <c r="E36" s="275" t="s">
        <v>10</v>
      </c>
      <c r="G36" s="417"/>
      <c r="H36" s="342" t="s">
        <v>9</v>
      </c>
      <c r="J36" s="271"/>
      <c r="K36" s="418" t="s">
        <v>8</v>
      </c>
    </row>
    <row r="37" spans="1:18" x14ac:dyDescent="0.2">
      <c r="A37" s="268"/>
      <c r="B37" s="3"/>
      <c r="C37" s="306">
        <v>1</v>
      </c>
      <c r="D37" s="3" t="str">
        <f>CONCATENATE(1,". ",Vorgaben!$C$2-1)</f>
        <v>1. 2025</v>
      </c>
      <c r="E37" s="749"/>
      <c r="G37" s="3" t="e">
        <f>#REF!</f>
        <v>#REF!</v>
      </c>
      <c r="H37" s="277">
        <f>'2 Techn. Angaben &amp; Produktion'!R98</f>
        <v>0</v>
      </c>
      <c r="J37" s="3" t="e">
        <f>G37</f>
        <v>#REF!</v>
      </c>
      <c r="K37" s="316">
        <f t="shared" ref="K37:K48" si="4">E37*H37</f>
        <v>0</v>
      </c>
    </row>
    <row r="38" spans="1:18" x14ac:dyDescent="0.2">
      <c r="A38" s="268"/>
      <c r="C38" s="307">
        <f t="shared" ref="C38:C48" si="5">C37+1</f>
        <v>2</v>
      </c>
      <c r="D38" s="3" t="str">
        <f>CONCATENATE(2,". ",Vorgaben!$C$2-1)</f>
        <v>2. 2025</v>
      </c>
      <c r="E38" s="747"/>
      <c r="G38" s="3" t="e">
        <f>#REF!</f>
        <v>#REF!</v>
      </c>
      <c r="H38" s="274">
        <f>'2 Techn. Angaben &amp; Produktion'!R99</f>
        <v>0</v>
      </c>
      <c r="J38" s="3" t="e">
        <f t="shared" ref="J38:J48" si="6">G38</f>
        <v>#REF!</v>
      </c>
      <c r="K38" s="315">
        <f t="shared" si="4"/>
        <v>0</v>
      </c>
    </row>
    <row r="39" spans="1:18" ht="13.5" thickBot="1" x14ac:dyDescent="0.25">
      <c r="A39" s="268"/>
      <c r="C39" s="307">
        <f t="shared" si="5"/>
        <v>3</v>
      </c>
      <c r="D39" s="275" t="str">
        <f>CONCATENATE(3,". ",Vorgaben!$C$2-1)</f>
        <v>3. 2025</v>
      </c>
      <c r="E39" s="748"/>
      <c r="G39" s="314" t="e">
        <f>#REF!</f>
        <v>#REF!</v>
      </c>
      <c r="H39" s="276">
        <f>'2 Techn. Angaben &amp; Produktion'!R100</f>
        <v>0</v>
      </c>
      <c r="J39" s="275" t="e">
        <f t="shared" si="6"/>
        <v>#REF!</v>
      </c>
      <c r="K39" s="317">
        <f t="shared" si="4"/>
        <v>0</v>
      </c>
    </row>
    <row r="40" spans="1:18" x14ac:dyDescent="0.2">
      <c r="A40" s="268"/>
      <c r="B40" s="3"/>
      <c r="C40" s="307">
        <f t="shared" si="5"/>
        <v>4</v>
      </c>
      <c r="D40" s="3" t="str">
        <f>CONCATENATE(4,". ",Vorgaben!$C$2-1)</f>
        <v>4. 2025</v>
      </c>
      <c r="E40" s="749"/>
      <c r="G40" s="3" t="e">
        <f>#REF!</f>
        <v>#REF!</v>
      </c>
      <c r="H40" s="277">
        <f>'2 Techn. Angaben &amp; Produktion'!R101</f>
        <v>0</v>
      </c>
      <c r="J40" s="3" t="e">
        <f t="shared" si="6"/>
        <v>#REF!</v>
      </c>
      <c r="K40" s="316">
        <f t="shared" si="4"/>
        <v>0</v>
      </c>
    </row>
    <row r="41" spans="1:18" x14ac:dyDescent="0.2">
      <c r="A41" s="268"/>
      <c r="B41" s="1"/>
      <c r="C41" s="307">
        <f t="shared" si="5"/>
        <v>5</v>
      </c>
      <c r="D41" s="3" t="str">
        <f>CONCATENATE(5,". ",Vorgaben!$C$2-1)</f>
        <v>5. 2025</v>
      </c>
      <c r="E41" s="747"/>
      <c r="G41" s="3" t="e">
        <f>#REF!</f>
        <v>#REF!</v>
      </c>
      <c r="H41" s="274">
        <f>'2 Techn. Angaben &amp; Produktion'!R102</f>
        <v>0</v>
      </c>
      <c r="J41" s="3" t="e">
        <f t="shared" si="6"/>
        <v>#REF!</v>
      </c>
      <c r="K41" s="315">
        <f t="shared" si="4"/>
        <v>0</v>
      </c>
    </row>
    <row r="42" spans="1:18" ht="13.5" thickBot="1" x14ac:dyDescent="0.25">
      <c r="A42" s="268"/>
      <c r="B42" s="1"/>
      <c r="C42" s="307">
        <f t="shared" si="5"/>
        <v>6</v>
      </c>
      <c r="D42" s="275" t="str">
        <f>CONCATENATE(6,". ",Vorgaben!$C$2-1)</f>
        <v>6. 2025</v>
      </c>
      <c r="E42" s="748"/>
      <c r="G42" s="314" t="e">
        <f>#REF!</f>
        <v>#REF!</v>
      </c>
      <c r="H42" s="276">
        <f>'2 Techn. Angaben &amp; Produktion'!R103</f>
        <v>0</v>
      </c>
      <c r="J42" s="275" t="e">
        <f t="shared" si="6"/>
        <v>#REF!</v>
      </c>
      <c r="K42" s="317">
        <f t="shared" si="4"/>
        <v>0</v>
      </c>
    </row>
    <row r="43" spans="1:18" x14ac:dyDescent="0.2">
      <c r="A43" s="268"/>
      <c r="B43" s="1"/>
      <c r="C43" s="307">
        <f t="shared" si="5"/>
        <v>7</v>
      </c>
      <c r="D43" s="3" t="str">
        <f>CONCATENATE(7,". ",Vorgaben!$C$2-1)</f>
        <v>7. 2025</v>
      </c>
      <c r="E43" s="749"/>
      <c r="G43" s="3" t="e">
        <f>#REF!</f>
        <v>#REF!</v>
      </c>
      <c r="H43" s="277">
        <f>'2 Techn. Angaben &amp; Produktion'!R104</f>
        <v>0</v>
      </c>
      <c r="J43" s="3" t="e">
        <f t="shared" si="6"/>
        <v>#REF!</v>
      </c>
      <c r="K43" s="316">
        <f t="shared" si="4"/>
        <v>0</v>
      </c>
    </row>
    <row r="44" spans="1:18" x14ac:dyDescent="0.2">
      <c r="A44" s="268"/>
      <c r="B44" s="1"/>
      <c r="C44" s="307">
        <f t="shared" si="5"/>
        <v>8</v>
      </c>
      <c r="D44" s="3" t="str">
        <f>CONCATENATE(8,". ",Vorgaben!$C$2-1)</f>
        <v>8. 2025</v>
      </c>
      <c r="E44" s="747"/>
      <c r="G44" s="3" t="e">
        <f>#REF!</f>
        <v>#REF!</v>
      </c>
      <c r="H44" s="274">
        <f>'2 Techn. Angaben &amp; Produktion'!R105</f>
        <v>0</v>
      </c>
      <c r="J44" s="3" t="e">
        <f t="shared" si="6"/>
        <v>#REF!</v>
      </c>
      <c r="K44" s="315">
        <f t="shared" si="4"/>
        <v>0</v>
      </c>
    </row>
    <row r="45" spans="1:18" ht="13.5" thickBot="1" x14ac:dyDescent="0.25">
      <c r="A45" s="268"/>
      <c r="B45" s="1"/>
      <c r="C45" s="307">
        <f t="shared" si="5"/>
        <v>9</v>
      </c>
      <c r="D45" s="275" t="str">
        <f>CONCATENATE(9,". ",Vorgaben!$C$2-1)</f>
        <v>9. 2025</v>
      </c>
      <c r="E45" s="748"/>
      <c r="G45" s="314" t="e">
        <f>#REF!</f>
        <v>#REF!</v>
      </c>
      <c r="H45" s="276">
        <f>'2 Techn. Angaben &amp; Produktion'!R106</f>
        <v>0</v>
      </c>
      <c r="J45" s="275" t="e">
        <f t="shared" si="6"/>
        <v>#REF!</v>
      </c>
      <c r="K45" s="317">
        <f t="shared" si="4"/>
        <v>0</v>
      </c>
    </row>
    <row r="46" spans="1:18" x14ac:dyDescent="0.2">
      <c r="A46" s="268"/>
      <c r="B46" s="1"/>
      <c r="C46" s="307">
        <f t="shared" si="5"/>
        <v>10</v>
      </c>
      <c r="D46" s="3" t="str">
        <f>CONCATENATE(10,". ",Vorgaben!$C$2-1)</f>
        <v>10. 2025</v>
      </c>
      <c r="E46" s="749"/>
      <c r="G46" s="3" t="e">
        <f>#REF!</f>
        <v>#REF!</v>
      </c>
      <c r="H46" s="277">
        <f>'2 Techn. Angaben &amp; Produktion'!R107</f>
        <v>0</v>
      </c>
      <c r="J46" s="3" t="e">
        <f t="shared" si="6"/>
        <v>#REF!</v>
      </c>
      <c r="K46" s="316">
        <f t="shared" si="4"/>
        <v>0</v>
      </c>
    </row>
    <row r="47" spans="1:18" x14ac:dyDescent="0.2">
      <c r="A47" s="268"/>
      <c r="B47" s="1"/>
      <c r="C47" s="307">
        <f t="shared" si="5"/>
        <v>11</v>
      </c>
      <c r="D47" s="3" t="str">
        <f>CONCATENATE(11,". ",Vorgaben!$C$2-1)</f>
        <v>11. 2025</v>
      </c>
      <c r="E47" s="747"/>
      <c r="G47" s="3" t="e">
        <f>#REF!</f>
        <v>#REF!</v>
      </c>
      <c r="H47" s="274">
        <f>'2 Techn. Angaben &amp; Produktion'!R108</f>
        <v>0</v>
      </c>
      <c r="J47" s="3" t="e">
        <f t="shared" si="6"/>
        <v>#REF!</v>
      </c>
      <c r="K47" s="315">
        <f t="shared" si="4"/>
        <v>0</v>
      </c>
    </row>
    <row r="48" spans="1:18" ht="13.5" thickBot="1" x14ac:dyDescent="0.25">
      <c r="A48" s="268"/>
      <c r="B48" s="1"/>
      <c r="C48" s="307">
        <f t="shared" si="5"/>
        <v>12</v>
      </c>
      <c r="D48" s="275" t="str">
        <f>CONCATENATE(12,". ",Vorgaben!$C$2-1)</f>
        <v>12. 2025</v>
      </c>
      <c r="E48" s="748"/>
      <c r="G48" s="314" t="e">
        <f>#REF!</f>
        <v>#REF!</v>
      </c>
      <c r="H48" s="276">
        <f>'2 Techn. Angaben &amp; Produktion'!R109</f>
        <v>0</v>
      </c>
      <c r="J48" s="275" t="e">
        <f t="shared" si="6"/>
        <v>#REF!</v>
      </c>
      <c r="K48" s="317">
        <f t="shared" si="4"/>
        <v>0</v>
      </c>
    </row>
    <row r="49" spans="1:18" ht="19.5" customHeight="1" x14ac:dyDescent="0.2">
      <c r="C49" s="5">
        <f t="shared" ref="C49" si="7">C48+1</f>
        <v>13</v>
      </c>
      <c r="D49" s="308"/>
      <c r="E49" s="309"/>
      <c r="F49" s="309"/>
      <c r="H49" s="6">
        <f>SUM(H37:H48)</f>
        <v>0</v>
      </c>
      <c r="I49" s="8"/>
      <c r="J49" s="8"/>
      <c r="K49" s="308">
        <f>SUM(K37:K48)</f>
        <v>0</v>
      </c>
      <c r="L49" s="309" t="s">
        <v>123</v>
      </c>
      <c r="M49" s="312" t="str">
        <f ca="1">OFFSET(Sprachen!A434,0,'START, DÉBUT, INIZIO'!$D$4-1,1,1)</f>
        <v>Mehrkrosten für die Elektrizität für Zubringerpumpen</v>
      </c>
    </row>
    <row r="50" spans="1:18" ht="13.5" thickBot="1" x14ac:dyDescent="0.25">
      <c r="A50" s="271"/>
      <c r="B50" s="271"/>
      <c r="C50" s="271"/>
      <c r="D50" s="271"/>
      <c r="E50" s="271"/>
      <c r="F50" s="271"/>
      <c r="G50" s="271"/>
      <c r="H50" s="271"/>
      <c r="I50" s="271"/>
      <c r="J50" s="271"/>
      <c r="K50" s="271"/>
      <c r="L50" s="271"/>
      <c r="M50" s="271"/>
      <c r="N50" s="271"/>
      <c r="O50" s="271"/>
      <c r="P50" s="271"/>
      <c r="Q50" s="271"/>
      <c r="R50" s="271"/>
    </row>
    <row r="51" spans="1:18" ht="26.1" customHeight="1" x14ac:dyDescent="0.2">
      <c r="A51" s="12" t="str">
        <f ca="1">OFFSET(Sprachen!A435,0,'START, DÉBUT, INIZIO'!$D$4-1,1,1)</f>
        <v>Kosten für die Elektrizität für Umwälzpumpen</v>
      </c>
      <c r="B51" s="1"/>
      <c r="C51" s="1"/>
      <c r="D51" s="3"/>
      <c r="E51" s="900"/>
      <c r="F51" s="900"/>
      <c r="G51" s="900"/>
      <c r="H51" s="900"/>
      <c r="I51" s="900"/>
    </row>
    <row r="52" spans="1:18" ht="40.5" customHeight="1" x14ac:dyDescent="0.2">
      <c r="A52" s="12"/>
      <c r="B52" s="1"/>
      <c r="C52" s="1"/>
      <c r="D52" s="903" t="str">
        <f ca="1">D35</f>
        <v>Preis investitionsbedingter Pumpenstrom (unter Annahme Projekt wäre bereits realisiert)</v>
      </c>
      <c r="E52" s="903"/>
      <c r="F52" s="1"/>
      <c r="G52" s="903" t="str">
        <f ca="1">G35</f>
        <v>Investitionsbedingter Pumpenstrom Erwartungswert</v>
      </c>
      <c r="H52" s="903"/>
      <c r="I52" s="1"/>
      <c r="J52" s="903" t="str">
        <f ca="1">J35</f>
        <v>Kosten investitionsbedingter Pumpenstrom (unter Annahme Projekt wäre bereits realisiert)</v>
      </c>
      <c r="K52" s="903"/>
    </row>
    <row r="53" spans="1:18" ht="13.5" thickBot="1" x14ac:dyDescent="0.25">
      <c r="A53" s="268"/>
      <c r="B53" s="1"/>
      <c r="C53" s="307"/>
      <c r="D53" s="271"/>
      <c r="E53" s="275" t="s">
        <v>10</v>
      </c>
      <c r="G53" s="417"/>
      <c r="H53" s="342" t="s">
        <v>9</v>
      </c>
      <c r="J53" s="271"/>
      <c r="K53" s="418" t="s">
        <v>8</v>
      </c>
    </row>
    <row r="54" spans="1:18" x14ac:dyDescent="0.2">
      <c r="A54" s="268"/>
      <c r="B54" s="3"/>
      <c r="C54" s="306">
        <v>1</v>
      </c>
      <c r="D54" s="3" t="str">
        <f t="shared" ref="D54:D65" si="8">D37</f>
        <v>1. 2025</v>
      </c>
      <c r="E54" s="749"/>
      <c r="G54" s="3" t="e">
        <f t="shared" ref="G54:G65" si="9">G37</f>
        <v>#REF!</v>
      </c>
      <c r="H54" s="277">
        <f>'2 Techn. Angaben &amp; Produktion'!R124</f>
        <v>0</v>
      </c>
      <c r="J54" s="3" t="e">
        <f t="shared" ref="J54:J65" si="10">J37</f>
        <v>#REF!</v>
      </c>
      <c r="K54" s="316">
        <f t="shared" ref="K54:K65" si="11">E54*H54</f>
        <v>0</v>
      </c>
    </row>
    <row r="55" spans="1:18" x14ac:dyDescent="0.2">
      <c r="A55" s="268"/>
      <c r="C55" s="307">
        <f t="shared" ref="C55:C66" si="12">C54+1</f>
        <v>2</v>
      </c>
      <c r="D55" s="3" t="str">
        <f t="shared" si="8"/>
        <v>2. 2025</v>
      </c>
      <c r="E55" s="747"/>
      <c r="G55" s="3" t="e">
        <f t="shared" si="9"/>
        <v>#REF!</v>
      </c>
      <c r="H55" s="274">
        <f>'2 Techn. Angaben &amp; Produktion'!R125</f>
        <v>0</v>
      </c>
      <c r="J55" s="3" t="e">
        <f t="shared" si="10"/>
        <v>#REF!</v>
      </c>
      <c r="K55" s="315">
        <f t="shared" si="11"/>
        <v>0</v>
      </c>
    </row>
    <row r="56" spans="1:18" ht="13.5" thickBot="1" x14ac:dyDescent="0.25">
      <c r="A56" s="268"/>
      <c r="C56" s="307">
        <f t="shared" si="12"/>
        <v>3</v>
      </c>
      <c r="D56" s="275" t="str">
        <f t="shared" si="8"/>
        <v>3. 2025</v>
      </c>
      <c r="E56" s="748"/>
      <c r="G56" s="314" t="e">
        <f t="shared" si="9"/>
        <v>#REF!</v>
      </c>
      <c r="H56" s="276">
        <f>'2 Techn. Angaben &amp; Produktion'!R126</f>
        <v>0</v>
      </c>
      <c r="J56" s="275" t="e">
        <f t="shared" si="10"/>
        <v>#REF!</v>
      </c>
      <c r="K56" s="317">
        <f t="shared" si="11"/>
        <v>0</v>
      </c>
    </row>
    <row r="57" spans="1:18" x14ac:dyDescent="0.2">
      <c r="A57" s="268"/>
      <c r="B57" s="3"/>
      <c r="C57" s="307">
        <f t="shared" si="12"/>
        <v>4</v>
      </c>
      <c r="D57" s="3" t="str">
        <f t="shared" si="8"/>
        <v>4. 2025</v>
      </c>
      <c r="E57" s="749"/>
      <c r="G57" s="3" t="e">
        <f t="shared" si="9"/>
        <v>#REF!</v>
      </c>
      <c r="H57" s="277">
        <f>'2 Techn. Angaben &amp; Produktion'!R127</f>
        <v>0</v>
      </c>
      <c r="J57" s="3" t="e">
        <f t="shared" si="10"/>
        <v>#REF!</v>
      </c>
      <c r="K57" s="316">
        <f t="shared" si="11"/>
        <v>0</v>
      </c>
    </row>
    <row r="58" spans="1:18" x14ac:dyDescent="0.2">
      <c r="A58" s="268"/>
      <c r="B58" s="1"/>
      <c r="C58" s="307">
        <f t="shared" si="12"/>
        <v>5</v>
      </c>
      <c r="D58" s="3" t="str">
        <f t="shared" si="8"/>
        <v>5. 2025</v>
      </c>
      <c r="E58" s="747"/>
      <c r="G58" s="3" t="e">
        <f t="shared" si="9"/>
        <v>#REF!</v>
      </c>
      <c r="H58" s="274">
        <f>'2 Techn. Angaben &amp; Produktion'!R128</f>
        <v>0</v>
      </c>
      <c r="J58" s="3" t="e">
        <f t="shared" si="10"/>
        <v>#REF!</v>
      </c>
      <c r="K58" s="315">
        <f t="shared" si="11"/>
        <v>0</v>
      </c>
    </row>
    <row r="59" spans="1:18" ht="13.5" thickBot="1" x14ac:dyDescent="0.25">
      <c r="A59" s="268"/>
      <c r="B59" s="1"/>
      <c r="C59" s="307">
        <f t="shared" si="12"/>
        <v>6</v>
      </c>
      <c r="D59" s="275" t="str">
        <f t="shared" si="8"/>
        <v>6. 2025</v>
      </c>
      <c r="E59" s="748"/>
      <c r="G59" s="314" t="e">
        <f t="shared" si="9"/>
        <v>#REF!</v>
      </c>
      <c r="H59" s="276">
        <f>'2 Techn. Angaben &amp; Produktion'!R129</f>
        <v>0</v>
      </c>
      <c r="J59" s="275" t="e">
        <f t="shared" si="10"/>
        <v>#REF!</v>
      </c>
      <c r="K59" s="317">
        <f t="shared" si="11"/>
        <v>0</v>
      </c>
    </row>
    <row r="60" spans="1:18" x14ac:dyDescent="0.2">
      <c r="A60" s="268"/>
      <c r="B60" s="1"/>
      <c r="C60" s="307">
        <f t="shared" si="12"/>
        <v>7</v>
      </c>
      <c r="D60" s="3" t="str">
        <f t="shared" si="8"/>
        <v>7. 2025</v>
      </c>
      <c r="E60" s="749"/>
      <c r="G60" s="3" t="e">
        <f t="shared" si="9"/>
        <v>#REF!</v>
      </c>
      <c r="H60" s="277">
        <f>'2 Techn. Angaben &amp; Produktion'!R130</f>
        <v>0</v>
      </c>
      <c r="J60" s="3" t="e">
        <f t="shared" si="10"/>
        <v>#REF!</v>
      </c>
      <c r="K60" s="316">
        <f t="shared" si="11"/>
        <v>0</v>
      </c>
    </row>
    <row r="61" spans="1:18" x14ac:dyDescent="0.2">
      <c r="A61" s="268"/>
      <c r="B61" s="1"/>
      <c r="C61" s="307">
        <f t="shared" si="12"/>
        <v>8</v>
      </c>
      <c r="D61" s="3" t="str">
        <f t="shared" si="8"/>
        <v>8. 2025</v>
      </c>
      <c r="E61" s="747"/>
      <c r="G61" s="3" t="e">
        <f t="shared" si="9"/>
        <v>#REF!</v>
      </c>
      <c r="H61" s="274">
        <f>'2 Techn. Angaben &amp; Produktion'!R131</f>
        <v>0</v>
      </c>
      <c r="J61" s="3" t="e">
        <f t="shared" si="10"/>
        <v>#REF!</v>
      </c>
      <c r="K61" s="315">
        <f t="shared" si="11"/>
        <v>0</v>
      </c>
    </row>
    <row r="62" spans="1:18" ht="13.5" thickBot="1" x14ac:dyDescent="0.25">
      <c r="A62" s="268"/>
      <c r="B62" s="1"/>
      <c r="C62" s="307">
        <f t="shared" si="12"/>
        <v>9</v>
      </c>
      <c r="D62" s="275" t="str">
        <f t="shared" si="8"/>
        <v>9. 2025</v>
      </c>
      <c r="E62" s="748"/>
      <c r="G62" s="314" t="e">
        <f t="shared" si="9"/>
        <v>#REF!</v>
      </c>
      <c r="H62" s="276">
        <f>'2 Techn. Angaben &amp; Produktion'!R132</f>
        <v>0</v>
      </c>
      <c r="J62" s="275" t="e">
        <f t="shared" si="10"/>
        <v>#REF!</v>
      </c>
      <c r="K62" s="317">
        <f t="shared" si="11"/>
        <v>0</v>
      </c>
    </row>
    <row r="63" spans="1:18" x14ac:dyDescent="0.2">
      <c r="A63" s="268"/>
      <c r="B63" s="1"/>
      <c r="C63" s="307">
        <f t="shared" si="12"/>
        <v>10</v>
      </c>
      <c r="D63" s="3" t="str">
        <f t="shared" si="8"/>
        <v>10. 2025</v>
      </c>
      <c r="E63" s="749"/>
      <c r="G63" s="3" t="e">
        <f t="shared" si="9"/>
        <v>#REF!</v>
      </c>
      <c r="H63" s="277">
        <f>'2 Techn. Angaben &amp; Produktion'!R133</f>
        <v>0</v>
      </c>
      <c r="J63" s="3" t="e">
        <f t="shared" si="10"/>
        <v>#REF!</v>
      </c>
      <c r="K63" s="316">
        <f t="shared" si="11"/>
        <v>0</v>
      </c>
    </row>
    <row r="64" spans="1:18" x14ac:dyDescent="0.2">
      <c r="A64" s="268"/>
      <c r="B64" s="1"/>
      <c r="C64" s="307">
        <f t="shared" si="12"/>
        <v>11</v>
      </c>
      <c r="D64" s="3" t="str">
        <f t="shared" si="8"/>
        <v>11. 2025</v>
      </c>
      <c r="E64" s="747"/>
      <c r="G64" s="3" t="e">
        <f t="shared" si="9"/>
        <v>#REF!</v>
      </c>
      <c r="H64" s="274">
        <f>'2 Techn. Angaben &amp; Produktion'!R134</f>
        <v>0</v>
      </c>
      <c r="J64" s="3" t="e">
        <f t="shared" si="10"/>
        <v>#REF!</v>
      </c>
      <c r="K64" s="315">
        <f t="shared" si="11"/>
        <v>0</v>
      </c>
    </row>
    <row r="65" spans="1:18" ht="13.5" thickBot="1" x14ac:dyDescent="0.25">
      <c r="A65" s="268"/>
      <c r="B65" s="1"/>
      <c r="C65" s="307">
        <f t="shared" si="12"/>
        <v>12</v>
      </c>
      <c r="D65" s="275" t="str">
        <f t="shared" si="8"/>
        <v>12. 2025</v>
      </c>
      <c r="E65" s="748"/>
      <c r="G65" s="314" t="e">
        <f t="shared" si="9"/>
        <v>#REF!</v>
      </c>
      <c r="H65" s="276">
        <f>'2 Techn. Angaben &amp; Produktion'!R135</f>
        <v>0</v>
      </c>
      <c r="J65" s="275" t="e">
        <f t="shared" si="10"/>
        <v>#REF!</v>
      </c>
      <c r="K65" s="317">
        <f t="shared" si="11"/>
        <v>0</v>
      </c>
    </row>
    <row r="66" spans="1:18" ht="19.5" customHeight="1" x14ac:dyDescent="0.2">
      <c r="C66" s="5">
        <f t="shared" si="12"/>
        <v>13</v>
      </c>
      <c r="D66" s="308"/>
      <c r="E66" s="309"/>
      <c r="F66" s="309"/>
      <c r="H66" s="6">
        <f>SUM(H54:H65)</f>
        <v>0</v>
      </c>
      <c r="I66" s="8"/>
      <c r="J66" s="8"/>
      <c r="K66" s="308">
        <f>SUM(K54:K65)</f>
        <v>0</v>
      </c>
      <c r="L66" s="309" t="s">
        <v>123</v>
      </c>
      <c r="M66" s="312" t="str">
        <f ca="1">OFFSET(Sprachen!A436,0,'START, DÉBUT, INIZIO'!$D$4-1,1,1)</f>
        <v>Mehrkosten für die Elektrizität für Umwälzpumpen</v>
      </c>
    </row>
    <row r="67" spans="1:18" ht="13.5" thickBot="1" x14ac:dyDescent="0.25">
      <c r="A67" s="271"/>
      <c r="B67" s="271"/>
      <c r="C67" s="271"/>
      <c r="D67" s="271"/>
      <c r="E67" s="271"/>
      <c r="F67" s="271"/>
      <c r="G67" s="271"/>
      <c r="H67" s="271"/>
      <c r="I67" s="271"/>
      <c r="J67" s="271"/>
      <c r="K67" s="271"/>
      <c r="L67" s="271"/>
      <c r="M67" s="271"/>
      <c r="N67" s="271"/>
      <c r="O67" s="271"/>
      <c r="P67" s="271"/>
      <c r="Q67" s="271"/>
      <c r="R67" s="271"/>
    </row>
    <row r="68" spans="1:18" ht="26.1" customHeight="1" x14ac:dyDescent="0.2">
      <c r="A68" s="12" t="str">
        <f ca="1">OFFSET(Sprachen!A437,0,'START, DÉBUT, INIZIO'!$D$4-1,1,1)</f>
        <v>Investitionsbedingte Kosten für Steuern</v>
      </c>
      <c r="B68" s="1"/>
      <c r="C68" s="1"/>
      <c r="D68" s="3"/>
      <c r="E68" s="912"/>
      <c r="F68" s="912"/>
      <c r="G68" s="912"/>
      <c r="H68" s="912"/>
      <c r="I68" s="912"/>
    </row>
    <row r="69" spans="1:18" x14ac:dyDescent="0.2">
      <c r="B69" s="320" t="str">
        <f ca="1">OFFSET(Sprachen!A438,0,'START, DÉBUT, INIZIO'!$D$4-1,1,1)</f>
        <v>Abschreibungen (anr. Investition / investitionsgew. Nutzungsdauer)</v>
      </c>
      <c r="D69" s="306">
        <v>1</v>
      </c>
      <c r="E69" s="409">
        <f>'3 Investitionskosten'!$N$13/'3 Investitionskosten'!$U$13</f>
        <v>0</v>
      </c>
      <c r="F69" s="330" t="s">
        <v>123</v>
      </c>
    </row>
    <row r="70" spans="1:18" x14ac:dyDescent="0.2">
      <c r="B70" s="320" t="str">
        <f ca="1">OFFSET(Sprachen!A439,0,'START, DÉBUT, INIZIO'!$D$4-1,1,1)</f>
        <v>Kapitalkosten (EK + FK)</v>
      </c>
      <c r="D70" s="307">
        <f>D69+1</f>
        <v>2</v>
      </c>
      <c r="E70" s="6">
        <f>D6-E69</f>
        <v>0</v>
      </c>
      <c r="F70" s="310" t="s">
        <v>123</v>
      </c>
    </row>
    <row r="71" spans="1:18" x14ac:dyDescent="0.2">
      <c r="B71" s="320" t="str">
        <f ca="1">OFFSET(Sprachen!A440,0,'START, DÉBUT, INIZIO'!$D$4-1,1,1)</f>
        <v>Eigenkapitalkosten</v>
      </c>
      <c r="D71" s="307">
        <f>D70+1</f>
        <v>3</v>
      </c>
      <c r="E71" s="6">
        <f>E70*Vorgaben!$D$10</f>
        <v>0</v>
      </c>
      <c r="F71" s="310" t="s">
        <v>123</v>
      </c>
    </row>
    <row r="72" spans="1:18" x14ac:dyDescent="0.2">
      <c r="B72" s="320" t="str">
        <f ca="1">OFFSET(Sprachen!A441,0,'START, DÉBUT, INIZIO'!$D$4-1,1,1)</f>
        <v>Fremdkapitalkosten</v>
      </c>
      <c r="D72" s="307">
        <f>D71+1</f>
        <v>4</v>
      </c>
      <c r="E72" s="6">
        <f>E70*Vorgaben!$D$11</f>
        <v>0</v>
      </c>
      <c r="F72" s="310" t="s">
        <v>123</v>
      </c>
    </row>
    <row r="73" spans="1:18" x14ac:dyDescent="0.2">
      <c r="B73" s="320" t="str">
        <f ca="1">OFFSET(Sprachen!A442,0,'START, DÉBUT, INIZIO'!$D$4-1,1,1)</f>
        <v>Eigenkapitalkosten vor Steuern</v>
      </c>
      <c r="D73" s="307">
        <f t="shared" ref="D73:D74" si="13">D72+1</f>
        <v>5</v>
      </c>
      <c r="E73" s="6">
        <f>E71/(1-Vorgaben!$C$7)</f>
        <v>0</v>
      </c>
      <c r="F73" s="310" t="s">
        <v>123</v>
      </c>
    </row>
    <row r="74" spans="1:18" ht="25.5" customHeight="1" x14ac:dyDescent="0.2">
      <c r="B74" s="320" t="str">
        <f ca="1">OFFSET(Sprachen!A443,0,'START, DÉBUT, INIZIO'!$D$4-1,1,1)</f>
        <v>Steuern EK</v>
      </c>
      <c r="D74" s="5">
        <f t="shared" si="13"/>
        <v>6</v>
      </c>
      <c r="E74" s="308">
        <f>E73/(1)*Vorgaben!$C$7</f>
        <v>0</v>
      </c>
      <c r="F74" s="311" t="s">
        <v>123</v>
      </c>
      <c r="G74" s="312" t="str">
        <f ca="1">OFFSET(Sprachen!A444,0,'START, DÉBUT, INIZIO'!$D$4-1,1,1)</f>
        <v>Kosten EK Steuern</v>
      </c>
    </row>
    <row r="75" spans="1:18" ht="13.5" thickBot="1" x14ac:dyDescent="0.25">
      <c r="A75" s="271"/>
      <c r="B75" s="271"/>
      <c r="C75" s="271"/>
      <c r="D75" s="271"/>
      <c r="E75" s="271"/>
      <c r="F75" s="271"/>
      <c r="G75" s="271"/>
      <c r="H75" s="271"/>
      <c r="I75" s="271"/>
      <c r="J75" s="271"/>
      <c r="K75" s="271"/>
      <c r="L75" s="271"/>
      <c r="M75" s="271"/>
      <c r="N75" s="271"/>
      <c r="O75" s="271"/>
      <c r="P75" s="271"/>
      <c r="Q75" s="271"/>
      <c r="R75" s="271"/>
    </row>
    <row r="76" spans="1:18" ht="26.1" customHeight="1" x14ac:dyDescent="0.2">
      <c r="A76" s="12" t="str">
        <f ca="1">OFFSET(Sprachen!A551,0,'START, DÉBUT, INIZIO'!$D$4-1,1,1)</f>
        <v>Kennzahlen</v>
      </c>
      <c r="B76" s="1"/>
      <c r="C76" s="1"/>
      <c r="D76" s="3"/>
      <c r="E76" s="900"/>
      <c r="F76" s="900"/>
      <c r="G76" s="900"/>
      <c r="H76" s="900"/>
      <c r="I76" s="900"/>
    </row>
    <row r="77" spans="1:18" x14ac:dyDescent="0.2">
      <c r="B77" s="351" t="str">
        <f ca="1">OFFSET(Sprachen!A552,0,'START, DÉBUT, INIZIO'!$D$4-1,1,1)</f>
        <v>Kapitalkosten</v>
      </c>
      <c r="C77" s="5">
        <v>1</v>
      </c>
      <c r="D77" s="6">
        <f>D6</f>
        <v>0</v>
      </c>
      <c r="E77" t="s">
        <v>8</v>
      </c>
      <c r="K77" s="6"/>
    </row>
    <row r="78" spans="1:18" x14ac:dyDescent="0.2">
      <c r="B78" s="351" t="str">
        <f ca="1">OFFSET(Sprachen!A553,0,'START, DÉBUT, INIZIO'!$D$4-1,1,1)</f>
        <v>Betriebskosten</v>
      </c>
      <c r="C78" s="307">
        <f t="shared" ref="C78:C90" si="14">C77+1</f>
        <v>2</v>
      </c>
      <c r="D78" s="6">
        <f>D17</f>
        <v>0</v>
      </c>
      <c r="E78" t="s">
        <v>8</v>
      </c>
      <c r="K78" s="6"/>
    </row>
    <row r="79" spans="1:18" x14ac:dyDescent="0.2">
      <c r="B79" s="351" t="str">
        <f ca="1">OFFSET(Sprachen!A554,0,'START, DÉBUT, INIZIO'!$D$4-1,1,1)</f>
        <v>Energiebewirtschaftungs- und -verwertungskosten</v>
      </c>
      <c r="C79" s="307">
        <f t="shared" si="14"/>
        <v>3</v>
      </c>
      <c r="D79" s="6">
        <f ca="1">D23</f>
        <v>0</v>
      </c>
      <c r="E79" t="s">
        <v>8</v>
      </c>
      <c r="K79" s="6"/>
    </row>
    <row r="80" spans="1:18" x14ac:dyDescent="0.2">
      <c r="B80" s="351" t="str">
        <f ca="1">OFFSET(Sprachen!A555,0,'START, DÉBUT, INIZIO'!$D$4-1,1,1)</f>
        <v>Abgaben und Leistungen an das Gemeinwesen</v>
      </c>
      <c r="C80" s="307">
        <f t="shared" si="14"/>
        <v>4</v>
      </c>
      <c r="D80" s="6">
        <f>D32</f>
        <v>0</v>
      </c>
      <c r="E80" t="s">
        <v>8</v>
      </c>
      <c r="K80" s="6"/>
    </row>
    <row r="81" spans="1:18" x14ac:dyDescent="0.2">
      <c r="B81" s="351" t="str">
        <f ca="1">OFFSET(Sprachen!A556,0,'START, DÉBUT, INIZIO'!$D$4-1,1,1)</f>
        <v>Kosten für die Elektrizität für Zubringerpumpen</v>
      </c>
      <c r="C81" s="307">
        <f t="shared" si="14"/>
        <v>5</v>
      </c>
      <c r="D81" s="6">
        <f>K49</f>
        <v>0</v>
      </c>
      <c r="E81" t="s">
        <v>8</v>
      </c>
      <c r="K81" s="6"/>
    </row>
    <row r="82" spans="1:18" x14ac:dyDescent="0.2">
      <c r="B82" s="14" t="str">
        <f ca="1">OFFSET(Sprachen!A557,0,'START, DÉBUT, INIZIO'!$D$4-1,1,1)</f>
        <v>Kosten für die Elektrizität für Umwälzpumpen</v>
      </c>
      <c r="C82" s="307">
        <f t="shared" si="14"/>
        <v>6</v>
      </c>
      <c r="D82" s="6">
        <f>K66</f>
        <v>0</v>
      </c>
      <c r="E82" t="s">
        <v>8</v>
      </c>
      <c r="K82" s="6"/>
    </row>
    <row r="83" spans="1:18" ht="13.5" thickBot="1" x14ac:dyDescent="0.25">
      <c r="B83" s="351" t="str">
        <f ca="1">OFFSET(Sprachen!A558,0,'START, DÉBUT, INIZIO'!$D$4-1,1,1)</f>
        <v>Eigenkapitalgewinnsteuer</v>
      </c>
      <c r="C83" s="762">
        <f t="shared" si="14"/>
        <v>7</v>
      </c>
      <c r="D83" s="6">
        <f>E74</f>
        <v>0</v>
      </c>
      <c r="E83" t="s">
        <v>8</v>
      </c>
      <c r="K83" s="6"/>
    </row>
    <row r="84" spans="1:18" s="235" customFormat="1" ht="21" customHeight="1" thickBot="1" x14ac:dyDescent="0.25">
      <c r="B84" s="387" t="str">
        <f ca="1">OFFSET(Sprachen!A561,0,'START, DÉBUT, INIZIO'!$D$4-1,1,1)</f>
        <v>Jahreskosten aus Investition</v>
      </c>
      <c r="C84" s="777">
        <f t="shared" si="14"/>
        <v>8</v>
      </c>
      <c r="D84" s="390">
        <f ca="1">SUM(D77:D83)</f>
        <v>0</v>
      </c>
      <c r="E84" s="388" t="s">
        <v>8</v>
      </c>
      <c r="K84" s="384"/>
    </row>
    <row r="85" spans="1:18" ht="27.75" customHeight="1" x14ac:dyDescent="0.2">
      <c r="B85" s="410" t="str">
        <f ca="1">OFFSET(Sprachen!A568,0,'START, DÉBUT, INIZIO'!$D$4-1,1,1)</f>
        <v>Mehrproduktion aus Investition (ohne neue Speicherkapazität)</v>
      </c>
      <c r="C85" s="761">
        <f t="shared" si="14"/>
        <v>9</v>
      </c>
      <c r="D85" s="409">
        <f>'2 Techn. Angaben &amp; Produktion'!R55</f>
        <v>0</v>
      </c>
      <c r="E85" s="235" t="s">
        <v>9</v>
      </c>
      <c r="K85" s="6"/>
    </row>
    <row r="86" spans="1:18" ht="12.75" customHeight="1" thickBot="1" x14ac:dyDescent="0.25">
      <c r="B86" s="351" t="str">
        <f ca="1">OFFSET(Sprachen!A569,0,'START, DÉBUT, INIZIO'!$D$4-1,1,1)</f>
        <v>Neue Speicherkapazität</v>
      </c>
      <c r="C86" s="762">
        <f t="shared" si="14"/>
        <v>10</v>
      </c>
      <c r="D86" s="6" t="e">
        <f ca="1">'2 Techn. Angaben &amp; Produktion'!V55</f>
        <v>#DIV/0!</v>
      </c>
      <c r="E86" t="s">
        <v>9</v>
      </c>
      <c r="K86" s="6"/>
    </row>
    <row r="87" spans="1:18" s="235" customFormat="1" ht="32.25" customHeight="1" thickBot="1" x14ac:dyDescent="0.25">
      <c r="B87" s="765" t="str">
        <f ca="1">OFFSET(Sprachen!A571,0,'START, DÉBUT, INIZIO'!$D$4-1,1,1)</f>
        <v>Mehrproduktion aus Investition (inkl. neue Speicherkapazität)</v>
      </c>
      <c r="C87" s="777">
        <f t="shared" si="14"/>
        <v>11</v>
      </c>
      <c r="D87" s="390">
        <f>'2 Techn. Angaben &amp; Produktion'!AB55</f>
        <v>0</v>
      </c>
      <c r="E87" s="388" t="s">
        <v>9</v>
      </c>
      <c r="K87" s="384"/>
    </row>
    <row r="88" spans="1:18" ht="19.5" customHeight="1" x14ac:dyDescent="0.2">
      <c r="A88" s="351"/>
      <c r="B88" s="351" t="str">
        <f ca="1">OFFSET(Sprachen!A574,0,'START, DÉBUT, INIZIO'!$D$4-1,1,1)</f>
        <v>Vergütungssatz</v>
      </c>
      <c r="C88" s="761">
        <f t="shared" si="14"/>
        <v>12</v>
      </c>
      <c r="D88" s="352" t="e">
        <f ca="1">D84/D87</f>
        <v>#DIV/0!</v>
      </c>
      <c r="E88" t="s">
        <v>10</v>
      </c>
      <c r="K88" s="352"/>
    </row>
    <row r="89" spans="1:18" ht="12.75" customHeight="1" thickBot="1" x14ac:dyDescent="0.25">
      <c r="A89" s="351"/>
      <c r="B89" s="14" t="str">
        <f ca="1">OFFSET(Sprachen!A626,0,'START, DÉBUT, INIZIO'!$D$4-1,1,1)</f>
        <v>maximaler Vergütungssatz</v>
      </c>
      <c r="C89" s="762">
        <f t="shared" si="14"/>
        <v>13</v>
      </c>
      <c r="D89" s="313">
        <f>Vorgaben!K4</f>
        <v>300</v>
      </c>
      <c r="E89" t="s">
        <v>10</v>
      </c>
      <c r="K89" s="352"/>
    </row>
    <row r="90" spans="1:18" ht="21" customHeight="1" thickBot="1" x14ac:dyDescent="0.25">
      <c r="A90" s="351"/>
      <c r="B90" s="387" t="str">
        <f ca="1">OFFSET(Sprachen!A574,0,'START, DÉBUT, INIZIO'!$D$4-1,1,1)</f>
        <v>Vergütungssatz</v>
      </c>
      <c r="C90" s="777">
        <f t="shared" si="14"/>
        <v>14</v>
      </c>
      <c r="D90" s="766" t="e">
        <f ca="1">IF(D88&gt;D89,D89,D88)</f>
        <v>#DIV/0!</v>
      </c>
      <c r="E90" s="388" t="s">
        <v>10</v>
      </c>
      <c r="K90" s="352"/>
    </row>
    <row r="91" spans="1:18" ht="13.5" thickBot="1" x14ac:dyDescent="0.25">
      <c r="A91" s="271"/>
      <c r="B91" s="371"/>
      <c r="C91" s="778"/>
      <c r="D91" s="371"/>
      <c r="E91" s="371"/>
      <c r="F91" s="371"/>
      <c r="G91" s="271"/>
      <c r="H91" s="271"/>
      <c r="I91" s="271"/>
      <c r="J91" s="271"/>
      <c r="K91" s="271"/>
      <c r="L91" s="271"/>
      <c r="M91" s="271"/>
      <c r="N91" s="271"/>
      <c r="O91" s="271"/>
      <c r="P91" s="271"/>
      <c r="Q91" s="271"/>
      <c r="R91" s="271"/>
    </row>
    <row r="92" spans="1:18" ht="26.1" customHeight="1" x14ac:dyDescent="0.2">
      <c r="A92" s="12"/>
      <c r="B92" s="1"/>
      <c r="C92" s="1"/>
      <c r="D92" s="3"/>
      <c r="E92" s="900"/>
      <c r="F92" s="900"/>
      <c r="G92" s="900"/>
      <c r="H92" s="900"/>
      <c r="I92" s="900"/>
    </row>
  </sheetData>
  <sheetProtection algorithmName="SHA-512" hashValue="SSAPEpcwGFIYGxLQx71OXqo70CjMsCy6Iy+/Pu4Gd4GPMkf3qMpTypcApEYHtZko13aV/3NF/5FTSTKSuEXhDg==" saltValue="gTXv43QOFPY3tQS8UG0ODA==" spinCount="100000" sheet="1" objects="1" scenarios="1"/>
  <mergeCells count="26">
    <mergeCell ref="F20:R20"/>
    <mergeCell ref="F21:R21"/>
    <mergeCell ref="F26:R26"/>
    <mergeCell ref="F27:R27"/>
    <mergeCell ref="F28:R28"/>
    <mergeCell ref="F10:R10"/>
    <mergeCell ref="F11:R11"/>
    <mergeCell ref="F12:R12"/>
    <mergeCell ref="F13:R13"/>
    <mergeCell ref="F14:R14"/>
    <mergeCell ref="D1:D2"/>
    <mergeCell ref="E76:I76"/>
    <mergeCell ref="E92:I92"/>
    <mergeCell ref="F30:R30"/>
    <mergeCell ref="F31:R31"/>
    <mergeCell ref="E34:I34"/>
    <mergeCell ref="D35:E35"/>
    <mergeCell ref="G35:H35"/>
    <mergeCell ref="J35:K35"/>
    <mergeCell ref="E51:I51"/>
    <mergeCell ref="D52:E52"/>
    <mergeCell ref="G52:H52"/>
    <mergeCell ref="J52:K52"/>
    <mergeCell ref="E68:I68"/>
    <mergeCell ref="F29:R29"/>
    <mergeCell ref="F9:R9"/>
  </mergeCells>
  <hyperlinks>
    <hyperlink ref="D1" location="'START, DÉBUT, INIZIO'!A1" display="START / DÉBUT / INIZIO" xr:uid="{1D84C9A6-88F3-420A-93E5-B138F7940797}"/>
  </hyperlinks>
  <pageMargins left="0.7" right="0.7" top="0.78740157499999996" bottom="0.78740157499999996"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380B944E-C24F-43F5-A74B-CDC9AF98B3BA}">
            <xm:f>'START, DÉBUT, INIZIO'!$E$35&lt;&gt;4</xm:f>
            <x14:dxf>
              <font>
                <color theme="0" tint="-0.14996795556505021"/>
              </font>
              <fill>
                <patternFill patternType="none">
                  <bgColor auto="1"/>
                </patternFill>
              </fill>
            </x14:dxf>
          </x14:cfRule>
          <xm:sqref>A1:XFD1048576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38F41-4BDE-44CB-B6BB-48EACD3C604C}">
  <sheetPr>
    <tabColor rgb="FFFFC000"/>
  </sheetPr>
  <dimension ref="A1:R92"/>
  <sheetViews>
    <sheetView showGridLines="0" zoomScaleNormal="100" workbookViewId="0">
      <selection activeCell="D88" sqref="D88"/>
    </sheetView>
  </sheetViews>
  <sheetFormatPr baseColWidth="10" defaultRowHeight="12.75" x14ac:dyDescent="0.2"/>
  <cols>
    <col min="1" max="1" width="7.42578125" customWidth="1"/>
    <col min="2" max="2" width="71.5703125" customWidth="1"/>
    <col min="3" max="3" width="6.28515625" customWidth="1"/>
    <col min="4" max="4" width="16.85546875" customWidth="1"/>
    <col min="5" max="5" width="22.7109375" bestFit="1" customWidth="1"/>
    <col min="6" max="6" width="13.28515625" customWidth="1"/>
    <col min="7" max="7" width="15.42578125" customWidth="1"/>
    <col min="8" max="8" width="15.5703125" customWidth="1"/>
    <col min="9" max="9" width="11.140625" customWidth="1"/>
    <col min="10" max="10" width="15.42578125" customWidth="1"/>
    <col min="11" max="11" width="16.7109375" customWidth="1"/>
    <col min="12" max="12" width="13.42578125" customWidth="1"/>
    <col min="13" max="14" width="16.140625" customWidth="1"/>
    <col min="15" max="15" width="12.42578125" customWidth="1"/>
    <col min="16" max="17" width="15.28515625" customWidth="1"/>
    <col min="18" max="18" width="12.28515625" customWidth="1"/>
    <col min="21" max="21" width="12" customWidth="1"/>
    <col min="22" max="22" width="4.5703125" customWidth="1"/>
    <col min="24" max="24" width="14.42578125" customWidth="1"/>
    <col min="25" max="25" width="10.7109375" customWidth="1"/>
    <col min="27" max="27" width="16.28515625" customWidth="1"/>
  </cols>
  <sheetData>
    <row r="1" spans="1:18" ht="12.75" customHeight="1" x14ac:dyDescent="0.2">
      <c r="A1" s="1" t="str">
        <f ca="1">DropDown!$A$3</f>
        <v>Erhebliche Erweiterung</v>
      </c>
      <c r="D1" s="901" t="s">
        <v>1582</v>
      </c>
    </row>
    <row r="2" spans="1:18" ht="15.75" customHeight="1" x14ac:dyDescent="0.2">
      <c r="A2" s="1" t="str">
        <f ca="1">CONCATENATE(DropDown!$A$8," / ",DropDown!$A$9)</f>
        <v>nicht steuerbar &amp; &gt; 3 MWbr / &lt;= 3 MWbr</v>
      </c>
      <c r="D2" s="901"/>
    </row>
    <row r="3" spans="1:18" s="236" customFormat="1" ht="12.75" customHeight="1" thickBot="1" x14ac:dyDescent="0.25">
      <c r="A3" s="279">
        <f>'START, DÉBUT, INIZIO'!$C$21</f>
        <v>0</v>
      </c>
      <c r="B3" s="237"/>
      <c r="C3" s="237"/>
      <c r="D3" s="237"/>
      <c r="E3" s="237"/>
      <c r="F3" s="237"/>
      <c r="G3" s="237"/>
      <c r="H3" s="237"/>
      <c r="I3" s="237"/>
      <c r="J3" s="237"/>
      <c r="K3" s="237"/>
      <c r="L3" s="237"/>
      <c r="M3" s="237"/>
      <c r="N3" s="237"/>
      <c r="O3" s="237"/>
      <c r="P3" s="237"/>
      <c r="Q3" s="237"/>
      <c r="R3" s="237"/>
    </row>
    <row r="4" spans="1:18" s="236" customFormat="1" ht="25.5" customHeight="1" x14ac:dyDescent="0.2">
      <c r="A4" s="684">
        <v>4.5</v>
      </c>
      <c r="B4" s="685" t="str">
        <f ca="1">OFFSET(Sprachen!A405,0,'START, DÉBUT, INIZIO'!$D$4-1,1,1)</f>
        <v>Jahreskosten</v>
      </c>
      <c r="C4" s="686"/>
      <c r="D4" s="686"/>
      <c r="E4" s="686"/>
      <c r="F4" s="686"/>
      <c r="G4" s="686"/>
      <c r="H4" s="686"/>
      <c r="I4" s="686"/>
      <c r="J4" s="686"/>
      <c r="K4" s="686"/>
      <c r="L4" s="686"/>
      <c r="M4" s="686"/>
      <c r="N4" s="686"/>
      <c r="O4" s="686"/>
      <c r="P4" s="686"/>
      <c r="Q4" s="686"/>
      <c r="R4" s="686"/>
    </row>
    <row r="5" spans="1:18" ht="26.1" customHeight="1" x14ac:dyDescent="0.2">
      <c r="A5" s="12" t="str">
        <f ca="1">OFFSET(Sprachen!A406,0,'START, DÉBUT, INIZIO'!$D$4-1,1,1)</f>
        <v>Investitionsbedingte Kosten für Kapital (Abschreibung + EK + FK)</v>
      </c>
      <c r="B5" s="268"/>
      <c r="C5" s="268"/>
      <c r="D5" s="3"/>
      <c r="E5" s="269"/>
      <c r="F5" s="269"/>
      <c r="G5" s="269"/>
      <c r="I5" s="1"/>
    </row>
    <row r="6" spans="1:18" x14ac:dyDescent="0.2">
      <c r="C6" s="306">
        <v>1</v>
      </c>
      <c r="D6" s="308">
        <f>'3 Investitionskosten'!$W$13</f>
        <v>0</v>
      </c>
      <c r="E6" s="312" t="s">
        <v>123</v>
      </c>
      <c r="F6" s="309" t="str">
        <f ca="1">OFFSET(Sprachen!A407,0,'START, DÉBUT, INIZIO'!$D$4-1,1,1)</f>
        <v>Anrechenbare Annuität</v>
      </c>
    </row>
    <row r="7" spans="1:18" ht="13.5" thickBot="1" x14ac:dyDescent="0.25">
      <c r="A7" s="271"/>
      <c r="B7" s="271"/>
      <c r="C7" s="271"/>
      <c r="D7" s="271"/>
      <c r="E7" s="271"/>
      <c r="F7" s="271"/>
      <c r="G7" s="271"/>
      <c r="H7" s="271"/>
      <c r="I7" s="271"/>
      <c r="J7" s="271"/>
      <c r="K7" s="271"/>
      <c r="L7" s="271"/>
      <c r="M7" s="271"/>
      <c r="N7" s="271"/>
      <c r="O7" s="271"/>
      <c r="P7" s="271"/>
      <c r="Q7" s="271"/>
      <c r="R7" s="271"/>
    </row>
    <row r="8" spans="1:18" ht="26.1" customHeight="1" x14ac:dyDescent="0.2">
      <c r="A8" s="12" t="str">
        <f ca="1">OFFSET(Sprachen!A408,0,'START, DÉBUT, INIZIO'!$D$4-1,1,1)</f>
        <v>Investitionsbedingte Kosten für Betrieb</v>
      </c>
      <c r="B8" s="268"/>
      <c r="C8" s="268"/>
      <c r="D8" s="3"/>
      <c r="E8" s="318"/>
      <c r="F8" s="1" t="str">
        <f ca="1">OFFSET(Sprachen!A412,0,'START, DÉBUT, INIZIO'!$D$4-1,1,1)</f>
        <v>Beschreibung</v>
      </c>
      <c r="G8" s="269"/>
      <c r="I8" s="1"/>
    </row>
    <row r="9" spans="1:18" x14ac:dyDescent="0.2">
      <c r="C9" s="306">
        <v>1</v>
      </c>
      <c r="D9" s="792"/>
      <c r="E9" s="310" t="s">
        <v>123</v>
      </c>
      <c r="F9" s="902"/>
      <c r="G9" s="902"/>
      <c r="H9" s="902"/>
      <c r="I9" s="902"/>
      <c r="J9" s="902"/>
      <c r="K9" s="902"/>
      <c r="L9" s="902"/>
      <c r="M9" s="902"/>
      <c r="N9" s="902"/>
      <c r="O9" s="902"/>
      <c r="P9" s="902"/>
      <c r="Q9" s="902"/>
      <c r="R9" s="902"/>
    </row>
    <row r="10" spans="1:18" x14ac:dyDescent="0.2">
      <c r="C10" s="307">
        <f t="shared" ref="C10:C14" si="0">C9+1</f>
        <v>2</v>
      </c>
      <c r="D10" s="792"/>
      <c r="E10" s="310" t="s">
        <v>123</v>
      </c>
      <c r="F10" s="902"/>
      <c r="G10" s="902"/>
      <c r="H10" s="902"/>
      <c r="I10" s="902"/>
      <c r="J10" s="902"/>
      <c r="K10" s="902"/>
      <c r="L10" s="902"/>
      <c r="M10" s="902"/>
      <c r="N10" s="902"/>
      <c r="O10" s="902"/>
      <c r="P10" s="902"/>
      <c r="Q10" s="902"/>
      <c r="R10" s="902"/>
    </row>
    <row r="11" spans="1:18" x14ac:dyDescent="0.2">
      <c r="C11" s="307">
        <f t="shared" si="0"/>
        <v>3</v>
      </c>
      <c r="D11" s="792"/>
      <c r="E11" s="310" t="s">
        <v>123</v>
      </c>
      <c r="F11" s="902"/>
      <c r="G11" s="902"/>
      <c r="H11" s="902"/>
      <c r="I11" s="902"/>
      <c r="J11" s="902"/>
      <c r="K11" s="902"/>
      <c r="L11" s="902"/>
      <c r="M11" s="902"/>
      <c r="N11" s="902"/>
      <c r="O11" s="902"/>
      <c r="P11" s="902"/>
      <c r="Q11" s="902"/>
      <c r="R11" s="902"/>
    </row>
    <row r="12" spans="1:18" x14ac:dyDescent="0.2">
      <c r="C12" s="307">
        <f t="shared" si="0"/>
        <v>4</v>
      </c>
      <c r="D12" s="792"/>
      <c r="E12" s="310" t="s">
        <v>123</v>
      </c>
      <c r="F12" s="902"/>
      <c r="G12" s="902"/>
      <c r="H12" s="902"/>
      <c r="I12" s="902"/>
      <c r="J12" s="902"/>
      <c r="K12" s="902"/>
      <c r="L12" s="902"/>
      <c r="M12" s="902"/>
      <c r="N12" s="902"/>
      <c r="O12" s="902"/>
      <c r="P12" s="902"/>
      <c r="Q12" s="902"/>
      <c r="R12" s="902"/>
    </row>
    <row r="13" spans="1:18" x14ac:dyDescent="0.2">
      <c r="C13" s="307">
        <f t="shared" si="0"/>
        <v>5</v>
      </c>
      <c r="D13" s="792"/>
      <c r="E13" s="310" t="s">
        <v>123</v>
      </c>
      <c r="F13" s="902"/>
      <c r="G13" s="902"/>
      <c r="H13" s="902"/>
      <c r="I13" s="902"/>
      <c r="J13" s="902"/>
      <c r="K13" s="902"/>
      <c r="L13" s="902"/>
      <c r="M13" s="902"/>
      <c r="N13" s="902"/>
      <c r="O13" s="902"/>
      <c r="P13" s="902"/>
      <c r="Q13" s="902"/>
      <c r="R13" s="902"/>
    </row>
    <row r="14" spans="1:18" x14ac:dyDescent="0.2">
      <c r="C14" s="307">
        <f t="shared" si="0"/>
        <v>6</v>
      </c>
      <c r="D14" s="792"/>
      <c r="E14" s="310" t="s">
        <v>123</v>
      </c>
      <c r="F14" s="902"/>
      <c r="G14" s="902"/>
      <c r="H14" s="902"/>
      <c r="I14" s="902"/>
      <c r="J14" s="902"/>
      <c r="K14" s="902"/>
      <c r="L14" s="902"/>
      <c r="M14" s="902"/>
      <c r="N14" s="902"/>
      <c r="O14" s="902"/>
      <c r="P14" s="902"/>
      <c r="Q14" s="902"/>
      <c r="R14" s="902"/>
    </row>
    <row r="15" spans="1:18" x14ac:dyDescent="0.2">
      <c r="C15" s="5">
        <f t="shared" ref="C15:C17" si="1">C14+1</f>
        <v>7</v>
      </c>
      <c r="D15" s="6">
        <f>SUM(D9:D14)</f>
        <v>0</v>
      </c>
      <c r="E15" s="310" t="s">
        <v>123</v>
      </c>
      <c r="F15" s="1" t="str">
        <f ca="1">OFFSET(Sprachen!A413,0,'START, DÉBUT, INIZIO'!$D$4-1,1,1)</f>
        <v>Total</v>
      </c>
    </row>
    <row r="16" spans="1:18" x14ac:dyDescent="0.2">
      <c r="C16" s="5">
        <f t="shared" si="1"/>
        <v>8</v>
      </c>
      <c r="D16" s="6">
        <f>0.02*'3 Investitionskosten'!$N$13</f>
        <v>0</v>
      </c>
      <c r="E16" s="310" t="s">
        <v>123</v>
      </c>
      <c r="F16" s="1" t="str">
        <f ca="1">OFFSET(Sprachen!A414,0,'START, DÉBUT, INIZIO'!$D$4-1,1,1)</f>
        <v>entsprechen 2% der anrechenbaren Investitionen</v>
      </c>
    </row>
    <row r="17" spans="1:18" ht="19.5" customHeight="1" x14ac:dyDescent="0.2">
      <c r="C17" s="5">
        <f t="shared" si="1"/>
        <v>9</v>
      </c>
      <c r="D17" s="308">
        <f>IF(D15&lt;D16,D15,D16)</f>
        <v>0</v>
      </c>
      <c r="E17" s="311" t="s">
        <v>123</v>
      </c>
      <c r="F17" s="309" t="str">
        <f ca="1">OFFSET(Sprachen!A415,0,'START, DÉBUT, INIZIO'!$D$4-1,1,1)</f>
        <v>anrechenbare Betriebskosten</v>
      </c>
    </row>
    <row r="18" spans="1:18" ht="13.5" thickBot="1" x14ac:dyDescent="0.25">
      <c r="A18" s="271"/>
      <c r="B18" s="271"/>
      <c r="C18" s="271"/>
      <c r="D18" s="271"/>
      <c r="E18" s="271"/>
      <c r="F18" s="271"/>
      <c r="G18" s="271"/>
      <c r="H18" s="271"/>
      <c r="I18" s="271"/>
      <c r="J18" s="271"/>
      <c r="K18" s="271"/>
      <c r="L18" s="271"/>
      <c r="M18" s="271"/>
      <c r="N18" s="271"/>
      <c r="O18" s="271"/>
      <c r="P18" s="271"/>
      <c r="Q18" s="271"/>
      <c r="R18" s="271"/>
    </row>
    <row r="19" spans="1:18" ht="26.1" customHeight="1" x14ac:dyDescent="0.2">
      <c r="A19" s="12" t="str">
        <f ca="1">OFFSET(Sprachen!A416,0,'START, DÉBUT, INIZIO'!$D$4-1,1,1)</f>
        <v>Investitionsbedingte Kosten für Energiebewirtschaftung und -verwertung</v>
      </c>
      <c r="B19" s="268"/>
      <c r="C19" s="268"/>
      <c r="D19" s="3"/>
      <c r="E19" s="269"/>
      <c r="F19" s="1" t="str">
        <f ca="1">F8</f>
        <v>Beschreibung</v>
      </c>
      <c r="G19" s="269"/>
      <c r="I19" s="1"/>
    </row>
    <row r="20" spans="1:18" x14ac:dyDescent="0.2">
      <c r="B20" s="1" t="str">
        <f ca="1">OFFSET(Sprachen!A417,0,'START, DÉBUT, INIZIO'!$D$4-1,1,1)</f>
        <v>Anspruch</v>
      </c>
      <c r="C20" s="306">
        <v>1</v>
      </c>
      <c r="D20" s="3" t="str">
        <f>IF('2 Techn. Angaben &amp; Produktion'!$H$10&gt;=3,"ja","nein")</f>
        <v>nein</v>
      </c>
      <c r="E20" s="269"/>
      <c r="F20" s="900" t="str">
        <f ca="1">OFFSET(Sprachen!A423,0,'START, DÉBUT, INIZIO'!$D$4-1,1,1)</f>
        <v>Anspruch haben nur Anlagen, welche nach der Investition eine mechanische Bruttoleistung &gt; 3 MW haben.</v>
      </c>
      <c r="G20" s="900"/>
      <c r="H20" s="900"/>
      <c r="I20" s="900"/>
      <c r="J20" s="900"/>
      <c r="K20" s="900"/>
      <c r="L20" s="900"/>
      <c r="M20" s="900"/>
      <c r="N20" s="900"/>
      <c r="O20" s="900"/>
      <c r="P20" s="900"/>
      <c r="Q20" s="900"/>
      <c r="R20" s="900"/>
    </row>
    <row r="21" spans="1:18" x14ac:dyDescent="0.2">
      <c r="B21" s="1">
        <f>$A$3</f>
        <v>0</v>
      </c>
      <c r="C21" s="307">
        <f>C20+1</f>
        <v>2</v>
      </c>
      <c r="D21" s="313">
        <f ca="1">OFFSET(Sprachen!A422,0,'START, DÉBUT, INIZIO'!$D$4-1,1,1)</f>
        <v>0</v>
      </c>
      <c r="E21" s="1" t="s">
        <v>132</v>
      </c>
      <c r="F21" s="900" t="str">
        <f ca="1">OFFSET(Sprachen!A424,0,'START, DÉBUT, INIZIO'!$D$4-1,1,1)</f>
        <v>EnFV Anhang 6.1, Ziffer 4.1.1, Buchstabe c</v>
      </c>
      <c r="G21" s="900"/>
      <c r="H21" s="900"/>
      <c r="I21" s="900"/>
      <c r="J21" s="900"/>
      <c r="K21" s="900"/>
      <c r="L21" s="900"/>
      <c r="M21" s="900"/>
      <c r="N21" s="900"/>
      <c r="O21" s="900"/>
      <c r="P21" s="900"/>
      <c r="Q21" s="900"/>
      <c r="R21" s="900"/>
    </row>
    <row r="22" spans="1:18" x14ac:dyDescent="0.2">
      <c r="B22" s="1" t="str">
        <f ca="1">OFFSET(Sprachen!A418,0,'START, DÉBUT, INIZIO'!$D$4-1,1,1)</f>
        <v>Durch Investition bedingte Mehrproduktion netto</v>
      </c>
      <c r="C22" s="307">
        <f>C21+1</f>
        <v>3</v>
      </c>
      <c r="D22" s="6">
        <f>'2 Techn. Angaben &amp; Produktion'!$R$55</f>
        <v>0</v>
      </c>
      <c r="E22" s="1" t="s">
        <v>9</v>
      </c>
    </row>
    <row r="23" spans="1:18" ht="19.5" customHeight="1" x14ac:dyDescent="0.2">
      <c r="C23" s="5">
        <f>C22+1</f>
        <v>4</v>
      </c>
      <c r="D23" s="308">
        <f ca="1">D21*10*D22</f>
        <v>0</v>
      </c>
      <c r="E23" s="309" t="s">
        <v>123</v>
      </c>
      <c r="F23" s="309" t="str">
        <f ca="1">OFFSET(Sprachen!A425,0,'START, DÉBUT, INIZIO'!$D$4-1,1,1)</f>
        <v>anrechenbare Energiebewirtschaftungs- und Verwertungskosten</v>
      </c>
    </row>
    <row r="24" spans="1:18" ht="13.5" thickBot="1" x14ac:dyDescent="0.25">
      <c r="A24" s="271"/>
      <c r="B24" s="271"/>
      <c r="C24" s="271"/>
      <c r="D24" s="271"/>
      <c r="E24" s="271"/>
      <c r="F24" s="271"/>
      <c r="G24" s="271"/>
      <c r="H24" s="271"/>
      <c r="I24" s="271"/>
      <c r="J24" s="271"/>
      <c r="K24" s="271"/>
      <c r="L24" s="271"/>
      <c r="M24" s="271"/>
      <c r="N24" s="271"/>
      <c r="O24" s="271"/>
      <c r="P24" s="271"/>
      <c r="Q24" s="271"/>
      <c r="R24" s="271"/>
    </row>
    <row r="25" spans="1:18" ht="26.1" customHeight="1" x14ac:dyDescent="0.2">
      <c r="A25" s="12" t="str">
        <f ca="1">OFFSET(Sprachen!A426,0,'START, DÉBUT, INIZIO'!$D$4-1,1,1)</f>
        <v>Investitionsbedingte Kosten aus Abgaben und Leistungen an das Gemeinwesen</v>
      </c>
      <c r="B25" s="268"/>
      <c r="C25" s="268"/>
      <c r="D25" s="3"/>
      <c r="E25" s="318"/>
      <c r="F25" s="1" t="str">
        <f ca="1">F19</f>
        <v>Beschreibung</v>
      </c>
      <c r="G25" s="269"/>
      <c r="I25" s="1"/>
    </row>
    <row r="26" spans="1:18" x14ac:dyDescent="0.2">
      <c r="C26" s="306">
        <v>1</v>
      </c>
      <c r="D26" s="6">
        <f>'2 Techn. Angaben &amp; Produktion'!$J$10*1000*'2 Techn. Angaben &amp; Produktion'!$H$30</f>
        <v>0</v>
      </c>
      <c r="E26" s="310" t="s">
        <v>123</v>
      </c>
      <c r="F26" s="902" t="str">
        <f ca="1">OFFSET(Sprachen!A428,0,'START, DÉBUT, INIZIO'!$D$4-1,1,1)</f>
        <v>Wasserzins</v>
      </c>
      <c r="G26" s="902"/>
      <c r="H26" s="902"/>
      <c r="I26" s="902"/>
      <c r="J26" s="902"/>
      <c r="K26" s="902"/>
      <c r="L26" s="902"/>
      <c r="M26" s="902"/>
      <c r="N26" s="902"/>
      <c r="O26" s="902"/>
      <c r="P26" s="902"/>
      <c r="Q26" s="902"/>
      <c r="R26" s="902"/>
    </row>
    <row r="27" spans="1:18" x14ac:dyDescent="0.2">
      <c r="C27" s="307">
        <f t="shared" ref="C27:C31" si="2">C26+1</f>
        <v>2</v>
      </c>
      <c r="D27" s="791"/>
      <c r="E27" s="310" t="s">
        <v>123</v>
      </c>
      <c r="F27" s="902"/>
      <c r="G27" s="902"/>
      <c r="H27" s="902"/>
      <c r="I27" s="902"/>
      <c r="J27" s="902"/>
      <c r="K27" s="902"/>
      <c r="L27" s="902"/>
      <c r="M27" s="902"/>
      <c r="N27" s="902"/>
      <c r="O27" s="902"/>
      <c r="P27" s="902"/>
      <c r="Q27" s="902"/>
      <c r="R27" s="902"/>
    </row>
    <row r="28" spans="1:18" x14ac:dyDescent="0.2">
      <c r="C28" s="307">
        <f t="shared" si="2"/>
        <v>3</v>
      </c>
      <c r="D28" s="792"/>
      <c r="E28" s="310" t="s">
        <v>123</v>
      </c>
      <c r="F28" s="902"/>
      <c r="G28" s="902"/>
      <c r="H28" s="902"/>
      <c r="I28" s="902"/>
      <c r="J28" s="902"/>
      <c r="K28" s="902"/>
      <c r="L28" s="902"/>
      <c r="M28" s="902"/>
      <c r="N28" s="902"/>
      <c r="O28" s="902"/>
      <c r="P28" s="902"/>
      <c r="Q28" s="902"/>
      <c r="R28" s="902"/>
    </row>
    <row r="29" spans="1:18" x14ac:dyDescent="0.2">
      <c r="C29" s="307">
        <f t="shared" si="2"/>
        <v>4</v>
      </c>
      <c r="D29" s="792"/>
      <c r="E29" s="310" t="s">
        <v>123</v>
      </c>
      <c r="F29" s="902"/>
      <c r="G29" s="902"/>
      <c r="H29" s="902"/>
      <c r="I29" s="902"/>
      <c r="J29" s="902"/>
      <c r="K29" s="902"/>
      <c r="L29" s="902"/>
      <c r="M29" s="902"/>
      <c r="N29" s="902"/>
      <c r="O29" s="902"/>
      <c r="P29" s="902"/>
      <c r="Q29" s="902"/>
      <c r="R29" s="902"/>
    </row>
    <row r="30" spans="1:18" x14ac:dyDescent="0.2">
      <c r="C30" s="307">
        <f t="shared" si="2"/>
        <v>5</v>
      </c>
      <c r="D30" s="792"/>
      <c r="E30" s="310" t="s">
        <v>123</v>
      </c>
      <c r="F30" s="902"/>
      <c r="G30" s="902"/>
      <c r="H30" s="902"/>
      <c r="I30" s="902"/>
      <c r="J30" s="902"/>
      <c r="K30" s="902"/>
      <c r="L30" s="902"/>
      <c r="M30" s="902"/>
      <c r="N30" s="902"/>
      <c r="O30" s="902"/>
      <c r="P30" s="902"/>
      <c r="Q30" s="902"/>
      <c r="R30" s="902"/>
    </row>
    <row r="31" spans="1:18" x14ac:dyDescent="0.2">
      <c r="C31" s="307">
        <f t="shared" si="2"/>
        <v>6</v>
      </c>
      <c r="D31" s="792"/>
      <c r="E31" s="310" t="s">
        <v>123</v>
      </c>
      <c r="F31" s="902"/>
      <c r="G31" s="902"/>
      <c r="H31" s="902"/>
      <c r="I31" s="902"/>
      <c r="J31" s="902"/>
      <c r="K31" s="902"/>
      <c r="L31" s="902"/>
      <c r="M31" s="902"/>
      <c r="N31" s="902"/>
      <c r="O31" s="902"/>
      <c r="P31" s="902"/>
      <c r="Q31" s="902"/>
      <c r="R31" s="902"/>
    </row>
    <row r="32" spans="1:18" ht="19.5" customHeight="1" x14ac:dyDescent="0.2">
      <c r="C32" s="5">
        <f t="shared" ref="C32" si="3">C31+1</f>
        <v>7</v>
      </c>
      <c r="D32" s="308">
        <f>SUM(D26:D31)</f>
        <v>0</v>
      </c>
      <c r="E32" s="309" t="s">
        <v>123</v>
      </c>
      <c r="F32" s="309" t="str">
        <f ca="1">OFFSET(Sprachen!A429,0,'START, DÉBUT, INIZIO'!$D$4-1,1,1)</f>
        <v>Anrechenbare Abgaben und Leistungen an das Gemeinwesen</v>
      </c>
    </row>
    <row r="33" spans="1:18" ht="13.5" thickBot="1" x14ac:dyDescent="0.25">
      <c r="A33" s="271"/>
      <c r="B33" s="271"/>
      <c r="C33" s="271"/>
      <c r="D33" s="271"/>
      <c r="E33" s="271"/>
      <c r="F33" s="271"/>
      <c r="G33" s="271"/>
      <c r="H33" s="271"/>
      <c r="I33" s="271"/>
      <c r="J33" s="271"/>
      <c r="K33" s="271"/>
      <c r="L33" s="271"/>
      <c r="M33" s="271"/>
      <c r="N33" s="271"/>
      <c r="O33" s="271"/>
      <c r="P33" s="271"/>
      <c r="Q33" s="271"/>
      <c r="R33" s="271"/>
    </row>
    <row r="34" spans="1:18" ht="26.1" customHeight="1" x14ac:dyDescent="0.2">
      <c r="A34" s="12" t="str">
        <f ca="1">OFFSET(Sprachen!A430,0,'START, DÉBUT, INIZIO'!$D$4-1,1,1)</f>
        <v>Kosten für die Elektrizität für Zubringerpumpen</v>
      </c>
      <c r="B34" s="1"/>
      <c r="C34" s="1"/>
      <c r="D34" s="3"/>
      <c r="E34" s="900"/>
      <c r="F34" s="900"/>
      <c r="G34" s="900"/>
      <c r="H34" s="900"/>
      <c r="I34" s="900"/>
    </row>
    <row r="35" spans="1:18" ht="39.950000000000003" customHeight="1" x14ac:dyDescent="0.2">
      <c r="A35" s="12"/>
      <c r="B35" s="1"/>
      <c r="C35" s="1"/>
      <c r="D35" s="903" t="str">
        <f ca="1">OFFSET(Sprachen!A431,0,'START, DÉBUT, INIZIO'!$D$4-1,1,1)</f>
        <v>Preis investitionsbedingter Pumpenstrom (unter Annahme Projekt wäre bereits realisiert)</v>
      </c>
      <c r="E35" s="903"/>
      <c r="F35" s="1"/>
      <c r="G35" s="903" t="str">
        <f ca="1">OFFSET(Sprachen!A432,0,'START, DÉBUT, INIZIO'!$D$4-1,1,1)</f>
        <v>Investitionsbedingter Pumpenstrom Erwartungswert</v>
      </c>
      <c r="H35" s="903"/>
      <c r="I35" s="1"/>
      <c r="J35" s="903" t="str">
        <f ca="1">OFFSET(Sprachen!A433,0,'START, DÉBUT, INIZIO'!$D$4-1,1,1)</f>
        <v>Kosten investitionsbedingter Pumpenstrom (unter Annahme Projekt wäre bereits realisiert)</v>
      </c>
      <c r="K35" s="903"/>
    </row>
    <row r="36" spans="1:18" ht="13.5" thickBot="1" x14ac:dyDescent="0.25">
      <c r="A36" s="268"/>
      <c r="B36" s="1"/>
      <c r="C36" s="307"/>
      <c r="D36" s="271"/>
      <c r="E36" s="275" t="s">
        <v>10</v>
      </c>
      <c r="G36" s="417"/>
      <c r="H36" s="342" t="s">
        <v>9</v>
      </c>
      <c r="J36" s="271"/>
      <c r="K36" s="418" t="s">
        <v>8</v>
      </c>
    </row>
    <row r="37" spans="1:18" x14ac:dyDescent="0.2">
      <c r="A37" s="268"/>
      <c r="B37" s="3"/>
      <c r="C37" s="306">
        <v>1</v>
      </c>
      <c r="D37" s="3" t="str">
        <f>CONCATENATE(1,". ",Vorgaben!$C$2-1)</f>
        <v>1. 2025</v>
      </c>
      <c r="E37" s="749"/>
      <c r="G37" s="3" t="e">
        <f>#REF!</f>
        <v>#REF!</v>
      </c>
      <c r="H37" s="277">
        <f>'2 Techn. Angaben &amp; Produktion'!R98</f>
        <v>0</v>
      </c>
      <c r="J37" s="3" t="e">
        <f>G37</f>
        <v>#REF!</v>
      </c>
      <c r="K37" s="316">
        <f t="shared" ref="K37:K48" si="4">E37*H37</f>
        <v>0</v>
      </c>
    </row>
    <row r="38" spans="1:18" x14ac:dyDescent="0.2">
      <c r="A38" s="268"/>
      <c r="C38" s="307">
        <f t="shared" ref="C38:C49" si="5">C37+1</f>
        <v>2</v>
      </c>
      <c r="D38" s="3" t="str">
        <f>CONCATENATE(2,". ",Vorgaben!$C$2-1)</f>
        <v>2. 2025</v>
      </c>
      <c r="E38" s="747"/>
      <c r="G38" s="3" t="e">
        <f>#REF!</f>
        <v>#REF!</v>
      </c>
      <c r="H38" s="274">
        <f>'2 Techn. Angaben &amp; Produktion'!R99</f>
        <v>0</v>
      </c>
      <c r="J38" s="3" t="e">
        <f t="shared" ref="J38:J48" si="6">G38</f>
        <v>#REF!</v>
      </c>
      <c r="K38" s="315">
        <f t="shared" si="4"/>
        <v>0</v>
      </c>
    </row>
    <row r="39" spans="1:18" ht="13.5" thickBot="1" x14ac:dyDescent="0.25">
      <c r="A39" s="268"/>
      <c r="C39" s="307">
        <f t="shared" si="5"/>
        <v>3</v>
      </c>
      <c r="D39" s="275" t="str">
        <f>CONCATENATE(3,". ",Vorgaben!$C$2-1)</f>
        <v>3. 2025</v>
      </c>
      <c r="E39" s="748"/>
      <c r="G39" s="314" t="e">
        <f>#REF!</f>
        <v>#REF!</v>
      </c>
      <c r="H39" s="276">
        <f>'2 Techn. Angaben &amp; Produktion'!R100</f>
        <v>0</v>
      </c>
      <c r="J39" s="275" t="e">
        <f t="shared" si="6"/>
        <v>#REF!</v>
      </c>
      <c r="K39" s="317">
        <f t="shared" si="4"/>
        <v>0</v>
      </c>
    </row>
    <row r="40" spans="1:18" x14ac:dyDescent="0.2">
      <c r="A40" s="268"/>
      <c r="B40" s="3"/>
      <c r="C40" s="307">
        <f t="shared" si="5"/>
        <v>4</v>
      </c>
      <c r="D40" s="3" t="str">
        <f>CONCATENATE(4,". ",Vorgaben!$C$2-1)</f>
        <v>4. 2025</v>
      </c>
      <c r="E40" s="749"/>
      <c r="G40" s="3" t="e">
        <f>#REF!</f>
        <v>#REF!</v>
      </c>
      <c r="H40" s="277">
        <f>'2 Techn. Angaben &amp; Produktion'!R101</f>
        <v>0</v>
      </c>
      <c r="J40" s="3" t="e">
        <f t="shared" si="6"/>
        <v>#REF!</v>
      </c>
      <c r="K40" s="316">
        <f t="shared" si="4"/>
        <v>0</v>
      </c>
    </row>
    <row r="41" spans="1:18" x14ac:dyDescent="0.2">
      <c r="A41" s="268"/>
      <c r="B41" s="1"/>
      <c r="C41" s="307">
        <f t="shared" si="5"/>
        <v>5</v>
      </c>
      <c r="D41" s="3" t="str">
        <f>CONCATENATE(5,". ",Vorgaben!$C$2-1)</f>
        <v>5. 2025</v>
      </c>
      <c r="E41" s="747"/>
      <c r="G41" s="3" t="e">
        <f>#REF!</f>
        <v>#REF!</v>
      </c>
      <c r="H41" s="274">
        <f>'2 Techn. Angaben &amp; Produktion'!R102</f>
        <v>0</v>
      </c>
      <c r="J41" s="3" t="e">
        <f t="shared" si="6"/>
        <v>#REF!</v>
      </c>
      <c r="K41" s="315">
        <f t="shared" si="4"/>
        <v>0</v>
      </c>
    </row>
    <row r="42" spans="1:18" ht="13.5" thickBot="1" x14ac:dyDescent="0.25">
      <c r="A42" s="268"/>
      <c r="B42" s="1"/>
      <c r="C42" s="307">
        <f t="shared" si="5"/>
        <v>6</v>
      </c>
      <c r="D42" s="275" t="str">
        <f>CONCATENATE(6,". ",Vorgaben!$C$2-1)</f>
        <v>6. 2025</v>
      </c>
      <c r="E42" s="748"/>
      <c r="G42" s="314" t="e">
        <f>#REF!</f>
        <v>#REF!</v>
      </c>
      <c r="H42" s="276">
        <f>'2 Techn. Angaben &amp; Produktion'!R103</f>
        <v>0</v>
      </c>
      <c r="J42" s="275" t="e">
        <f t="shared" si="6"/>
        <v>#REF!</v>
      </c>
      <c r="K42" s="317">
        <f t="shared" si="4"/>
        <v>0</v>
      </c>
    </row>
    <row r="43" spans="1:18" x14ac:dyDescent="0.2">
      <c r="A43" s="268"/>
      <c r="B43" s="1"/>
      <c r="C43" s="307">
        <f t="shared" si="5"/>
        <v>7</v>
      </c>
      <c r="D43" s="3" t="str">
        <f>CONCATENATE(7,". ",Vorgaben!$C$2-1)</f>
        <v>7. 2025</v>
      </c>
      <c r="E43" s="749"/>
      <c r="G43" s="3" t="e">
        <f>#REF!</f>
        <v>#REF!</v>
      </c>
      <c r="H43" s="277">
        <f>'2 Techn. Angaben &amp; Produktion'!R104</f>
        <v>0</v>
      </c>
      <c r="J43" s="3" t="e">
        <f t="shared" si="6"/>
        <v>#REF!</v>
      </c>
      <c r="K43" s="316">
        <f t="shared" si="4"/>
        <v>0</v>
      </c>
    </row>
    <row r="44" spans="1:18" x14ac:dyDescent="0.2">
      <c r="A44" s="268"/>
      <c r="B44" s="1"/>
      <c r="C44" s="307">
        <f t="shared" si="5"/>
        <v>8</v>
      </c>
      <c r="D44" s="3" t="str">
        <f>CONCATENATE(8,". ",Vorgaben!$C$2-1)</f>
        <v>8. 2025</v>
      </c>
      <c r="E44" s="747"/>
      <c r="G44" s="3" t="e">
        <f>#REF!</f>
        <v>#REF!</v>
      </c>
      <c r="H44" s="274">
        <f>'2 Techn. Angaben &amp; Produktion'!R105</f>
        <v>0</v>
      </c>
      <c r="J44" s="3" t="e">
        <f t="shared" si="6"/>
        <v>#REF!</v>
      </c>
      <c r="K44" s="315">
        <f t="shared" si="4"/>
        <v>0</v>
      </c>
    </row>
    <row r="45" spans="1:18" ht="13.5" thickBot="1" x14ac:dyDescent="0.25">
      <c r="A45" s="268"/>
      <c r="B45" s="1"/>
      <c r="C45" s="307">
        <f t="shared" si="5"/>
        <v>9</v>
      </c>
      <c r="D45" s="275" t="str">
        <f>CONCATENATE(9,". ",Vorgaben!$C$2-1)</f>
        <v>9. 2025</v>
      </c>
      <c r="E45" s="748"/>
      <c r="G45" s="314" t="e">
        <f>#REF!</f>
        <v>#REF!</v>
      </c>
      <c r="H45" s="276">
        <f>'2 Techn. Angaben &amp; Produktion'!R106</f>
        <v>0</v>
      </c>
      <c r="J45" s="275" t="e">
        <f t="shared" si="6"/>
        <v>#REF!</v>
      </c>
      <c r="K45" s="317">
        <f t="shared" si="4"/>
        <v>0</v>
      </c>
    </row>
    <row r="46" spans="1:18" x14ac:dyDescent="0.2">
      <c r="A46" s="268"/>
      <c r="B46" s="1"/>
      <c r="C46" s="307">
        <f t="shared" si="5"/>
        <v>10</v>
      </c>
      <c r="D46" s="3" t="str">
        <f>CONCATENATE(10,". ",Vorgaben!$C$2-1)</f>
        <v>10. 2025</v>
      </c>
      <c r="E46" s="749"/>
      <c r="G46" s="3" t="e">
        <f>#REF!</f>
        <v>#REF!</v>
      </c>
      <c r="H46" s="277">
        <f>'2 Techn. Angaben &amp; Produktion'!R107</f>
        <v>0</v>
      </c>
      <c r="J46" s="3" t="e">
        <f t="shared" si="6"/>
        <v>#REF!</v>
      </c>
      <c r="K46" s="316">
        <f t="shared" si="4"/>
        <v>0</v>
      </c>
    </row>
    <row r="47" spans="1:18" x14ac:dyDescent="0.2">
      <c r="A47" s="268"/>
      <c r="B47" s="1"/>
      <c r="C47" s="307">
        <f t="shared" si="5"/>
        <v>11</v>
      </c>
      <c r="D47" s="3" t="str">
        <f>CONCATENATE(11,". ",Vorgaben!$C$2-1)</f>
        <v>11. 2025</v>
      </c>
      <c r="E47" s="747"/>
      <c r="G47" s="3" t="e">
        <f>#REF!</f>
        <v>#REF!</v>
      </c>
      <c r="H47" s="274">
        <f>'2 Techn. Angaben &amp; Produktion'!R108</f>
        <v>0</v>
      </c>
      <c r="J47" s="3" t="e">
        <f t="shared" si="6"/>
        <v>#REF!</v>
      </c>
      <c r="K47" s="315">
        <f t="shared" si="4"/>
        <v>0</v>
      </c>
    </row>
    <row r="48" spans="1:18" ht="13.5" thickBot="1" x14ac:dyDescent="0.25">
      <c r="A48" s="268"/>
      <c r="B48" s="1"/>
      <c r="C48" s="307">
        <f t="shared" si="5"/>
        <v>12</v>
      </c>
      <c r="D48" s="275" t="str">
        <f>CONCATENATE(12,". ",Vorgaben!$C$2-1)</f>
        <v>12. 2025</v>
      </c>
      <c r="E48" s="748"/>
      <c r="G48" s="314" t="e">
        <f>#REF!</f>
        <v>#REF!</v>
      </c>
      <c r="H48" s="276">
        <f>'2 Techn. Angaben &amp; Produktion'!R109</f>
        <v>0</v>
      </c>
      <c r="J48" s="275" t="e">
        <f t="shared" si="6"/>
        <v>#REF!</v>
      </c>
      <c r="K48" s="317">
        <f t="shared" si="4"/>
        <v>0</v>
      </c>
    </row>
    <row r="49" spans="1:18" ht="19.5" customHeight="1" x14ac:dyDescent="0.2">
      <c r="C49" s="5">
        <f t="shared" si="5"/>
        <v>13</v>
      </c>
      <c r="D49" s="308"/>
      <c r="E49" s="309"/>
      <c r="F49" s="309"/>
      <c r="H49" s="6">
        <f>SUM(H37:H48)</f>
        <v>0</v>
      </c>
      <c r="I49" s="8"/>
      <c r="J49" s="8"/>
      <c r="K49" s="308">
        <f>SUM(K37:K48)</f>
        <v>0</v>
      </c>
      <c r="L49" s="309" t="s">
        <v>123</v>
      </c>
      <c r="M49" s="312" t="str">
        <f ca="1">OFFSET(Sprachen!A434,0,'START, DÉBUT, INIZIO'!$D$4-1,1,1)</f>
        <v>Mehrkrosten für die Elektrizität für Zubringerpumpen</v>
      </c>
    </row>
    <row r="50" spans="1:18" ht="13.5" thickBot="1" x14ac:dyDescent="0.25">
      <c r="A50" s="271"/>
      <c r="B50" s="271"/>
      <c r="C50" s="271"/>
      <c r="D50" s="271"/>
      <c r="E50" s="271"/>
      <c r="F50" s="271"/>
      <c r="G50" s="271"/>
      <c r="H50" s="271"/>
      <c r="I50" s="271"/>
      <c r="J50" s="271"/>
      <c r="K50" s="271"/>
      <c r="L50" s="271"/>
      <c r="M50" s="271"/>
      <c r="N50" s="271"/>
      <c r="O50" s="271"/>
      <c r="P50" s="271"/>
      <c r="Q50" s="271"/>
      <c r="R50" s="271"/>
    </row>
    <row r="51" spans="1:18" ht="26.1" customHeight="1" x14ac:dyDescent="0.2">
      <c r="A51" s="12" t="str">
        <f ca="1">OFFSET(Sprachen!A435,0,'START, DÉBUT, INIZIO'!$D$4-1,1,1)</f>
        <v>Kosten für die Elektrizität für Umwälzpumpen</v>
      </c>
      <c r="B51" s="1"/>
      <c r="C51" s="1"/>
      <c r="D51" s="3"/>
      <c r="E51" s="900"/>
      <c r="F51" s="900"/>
      <c r="G51" s="900"/>
      <c r="H51" s="900"/>
      <c r="I51" s="900"/>
    </row>
    <row r="52" spans="1:18" ht="40.5" customHeight="1" x14ac:dyDescent="0.2">
      <c r="A52" s="12"/>
      <c r="B52" s="1"/>
      <c r="C52" s="1"/>
      <c r="D52" s="903" t="str">
        <f ca="1">D35</f>
        <v>Preis investitionsbedingter Pumpenstrom (unter Annahme Projekt wäre bereits realisiert)</v>
      </c>
      <c r="E52" s="903"/>
      <c r="F52" s="1"/>
      <c r="G52" s="903" t="str">
        <f ca="1">G35</f>
        <v>Investitionsbedingter Pumpenstrom Erwartungswert</v>
      </c>
      <c r="H52" s="903"/>
      <c r="I52" s="1"/>
      <c r="J52" s="903" t="str">
        <f ca="1">J35</f>
        <v>Kosten investitionsbedingter Pumpenstrom (unter Annahme Projekt wäre bereits realisiert)</v>
      </c>
      <c r="K52" s="903"/>
    </row>
    <row r="53" spans="1:18" ht="13.5" thickBot="1" x14ac:dyDescent="0.25">
      <c r="A53" s="268"/>
      <c r="B53" s="1"/>
      <c r="C53" s="307"/>
      <c r="D53" s="271"/>
      <c r="E53" s="275" t="s">
        <v>10</v>
      </c>
      <c r="G53" s="417"/>
      <c r="H53" s="342" t="s">
        <v>9</v>
      </c>
      <c r="J53" s="271"/>
      <c r="K53" s="418" t="s">
        <v>8</v>
      </c>
    </row>
    <row r="54" spans="1:18" x14ac:dyDescent="0.2">
      <c r="A54" s="268"/>
      <c r="B54" s="3"/>
      <c r="C54" s="306">
        <v>1</v>
      </c>
      <c r="D54" s="3" t="str">
        <f t="shared" ref="D54:D65" si="7">D37</f>
        <v>1. 2025</v>
      </c>
      <c r="E54" s="749"/>
      <c r="G54" s="3" t="e">
        <f t="shared" ref="G54:G65" si="8">G37</f>
        <v>#REF!</v>
      </c>
      <c r="H54" s="277">
        <f>'2 Techn. Angaben &amp; Produktion'!R124</f>
        <v>0</v>
      </c>
      <c r="J54" s="3" t="e">
        <f t="shared" ref="J54:J65" si="9">J37</f>
        <v>#REF!</v>
      </c>
      <c r="K54" s="316">
        <f t="shared" ref="K54:K65" si="10">E54*H54</f>
        <v>0</v>
      </c>
    </row>
    <row r="55" spans="1:18" x14ac:dyDescent="0.2">
      <c r="A55" s="268"/>
      <c r="C55" s="307">
        <f t="shared" ref="C55:C66" si="11">C54+1</f>
        <v>2</v>
      </c>
      <c r="D55" s="3" t="str">
        <f t="shared" si="7"/>
        <v>2. 2025</v>
      </c>
      <c r="E55" s="747"/>
      <c r="G55" s="3" t="e">
        <f t="shared" si="8"/>
        <v>#REF!</v>
      </c>
      <c r="H55" s="274">
        <f>'2 Techn. Angaben &amp; Produktion'!R125</f>
        <v>0</v>
      </c>
      <c r="J55" s="3" t="e">
        <f t="shared" si="9"/>
        <v>#REF!</v>
      </c>
      <c r="K55" s="315">
        <f t="shared" si="10"/>
        <v>0</v>
      </c>
    </row>
    <row r="56" spans="1:18" ht="13.5" thickBot="1" x14ac:dyDescent="0.25">
      <c r="A56" s="268"/>
      <c r="C56" s="307">
        <f t="shared" si="11"/>
        <v>3</v>
      </c>
      <c r="D56" s="275" t="str">
        <f t="shared" si="7"/>
        <v>3. 2025</v>
      </c>
      <c r="E56" s="748"/>
      <c r="G56" s="314" t="e">
        <f t="shared" si="8"/>
        <v>#REF!</v>
      </c>
      <c r="H56" s="276">
        <f>'2 Techn. Angaben &amp; Produktion'!R126</f>
        <v>0</v>
      </c>
      <c r="J56" s="275" t="e">
        <f t="shared" si="9"/>
        <v>#REF!</v>
      </c>
      <c r="K56" s="317">
        <f t="shared" si="10"/>
        <v>0</v>
      </c>
    </row>
    <row r="57" spans="1:18" x14ac:dyDescent="0.2">
      <c r="A57" s="268"/>
      <c r="B57" s="3"/>
      <c r="C57" s="307">
        <f t="shared" si="11"/>
        <v>4</v>
      </c>
      <c r="D57" s="3" t="str">
        <f t="shared" si="7"/>
        <v>4. 2025</v>
      </c>
      <c r="E57" s="749"/>
      <c r="G57" s="3" t="e">
        <f t="shared" si="8"/>
        <v>#REF!</v>
      </c>
      <c r="H57" s="277">
        <f>'2 Techn. Angaben &amp; Produktion'!R127</f>
        <v>0</v>
      </c>
      <c r="J57" s="3" t="e">
        <f t="shared" si="9"/>
        <v>#REF!</v>
      </c>
      <c r="K57" s="316">
        <f t="shared" si="10"/>
        <v>0</v>
      </c>
    </row>
    <row r="58" spans="1:18" x14ac:dyDescent="0.2">
      <c r="A58" s="268"/>
      <c r="B58" s="1"/>
      <c r="C58" s="307">
        <f t="shared" si="11"/>
        <v>5</v>
      </c>
      <c r="D58" s="3" t="str">
        <f t="shared" si="7"/>
        <v>5. 2025</v>
      </c>
      <c r="E58" s="747"/>
      <c r="G58" s="3" t="e">
        <f t="shared" si="8"/>
        <v>#REF!</v>
      </c>
      <c r="H58" s="274">
        <f>'2 Techn. Angaben &amp; Produktion'!R128</f>
        <v>0</v>
      </c>
      <c r="J58" s="3" t="e">
        <f t="shared" si="9"/>
        <v>#REF!</v>
      </c>
      <c r="K58" s="315">
        <f t="shared" si="10"/>
        <v>0</v>
      </c>
    </row>
    <row r="59" spans="1:18" ht="13.5" thickBot="1" x14ac:dyDescent="0.25">
      <c r="A59" s="268"/>
      <c r="B59" s="1"/>
      <c r="C59" s="307">
        <f t="shared" si="11"/>
        <v>6</v>
      </c>
      <c r="D59" s="275" t="str">
        <f t="shared" si="7"/>
        <v>6. 2025</v>
      </c>
      <c r="E59" s="748"/>
      <c r="G59" s="314" t="e">
        <f t="shared" si="8"/>
        <v>#REF!</v>
      </c>
      <c r="H59" s="276">
        <f>'2 Techn. Angaben &amp; Produktion'!R129</f>
        <v>0</v>
      </c>
      <c r="J59" s="275" t="e">
        <f t="shared" si="9"/>
        <v>#REF!</v>
      </c>
      <c r="K59" s="317">
        <f t="shared" si="10"/>
        <v>0</v>
      </c>
    </row>
    <row r="60" spans="1:18" x14ac:dyDescent="0.2">
      <c r="A60" s="268"/>
      <c r="B60" s="1"/>
      <c r="C60" s="307">
        <f t="shared" si="11"/>
        <v>7</v>
      </c>
      <c r="D60" s="3" t="str">
        <f t="shared" si="7"/>
        <v>7. 2025</v>
      </c>
      <c r="E60" s="749"/>
      <c r="G60" s="3" t="e">
        <f t="shared" si="8"/>
        <v>#REF!</v>
      </c>
      <c r="H60" s="277">
        <f>'2 Techn. Angaben &amp; Produktion'!R130</f>
        <v>0</v>
      </c>
      <c r="J60" s="3" t="e">
        <f t="shared" si="9"/>
        <v>#REF!</v>
      </c>
      <c r="K60" s="316">
        <f t="shared" si="10"/>
        <v>0</v>
      </c>
    </row>
    <row r="61" spans="1:18" x14ac:dyDescent="0.2">
      <c r="A61" s="268"/>
      <c r="B61" s="1"/>
      <c r="C61" s="307">
        <f t="shared" si="11"/>
        <v>8</v>
      </c>
      <c r="D61" s="3" t="str">
        <f t="shared" si="7"/>
        <v>8. 2025</v>
      </c>
      <c r="E61" s="747"/>
      <c r="G61" s="3" t="e">
        <f t="shared" si="8"/>
        <v>#REF!</v>
      </c>
      <c r="H61" s="274">
        <f>'2 Techn. Angaben &amp; Produktion'!R131</f>
        <v>0</v>
      </c>
      <c r="J61" s="3" t="e">
        <f t="shared" si="9"/>
        <v>#REF!</v>
      </c>
      <c r="K61" s="315">
        <f t="shared" si="10"/>
        <v>0</v>
      </c>
    </row>
    <row r="62" spans="1:18" ht="13.5" thickBot="1" x14ac:dyDescent="0.25">
      <c r="A62" s="268"/>
      <c r="B62" s="1"/>
      <c r="C62" s="307">
        <f t="shared" si="11"/>
        <v>9</v>
      </c>
      <c r="D62" s="275" t="str">
        <f t="shared" si="7"/>
        <v>9. 2025</v>
      </c>
      <c r="E62" s="748"/>
      <c r="G62" s="314" t="e">
        <f t="shared" si="8"/>
        <v>#REF!</v>
      </c>
      <c r="H62" s="276">
        <f>'2 Techn. Angaben &amp; Produktion'!R132</f>
        <v>0</v>
      </c>
      <c r="J62" s="275" t="e">
        <f t="shared" si="9"/>
        <v>#REF!</v>
      </c>
      <c r="K62" s="317">
        <f t="shared" si="10"/>
        <v>0</v>
      </c>
    </row>
    <row r="63" spans="1:18" x14ac:dyDescent="0.2">
      <c r="A63" s="268"/>
      <c r="B63" s="1"/>
      <c r="C63" s="307">
        <f t="shared" si="11"/>
        <v>10</v>
      </c>
      <c r="D63" s="3" t="str">
        <f t="shared" si="7"/>
        <v>10. 2025</v>
      </c>
      <c r="E63" s="749"/>
      <c r="G63" s="3" t="e">
        <f t="shared" si="8"/>
        <v>#REF!</v>
      </c>
      <c r="H63" s="277">
        <f>'2 Techn. Angaben &amp; Produktion'!R133</f>
        <v>0</v>
      </c>
      <c r="J63" s="3" t="e">
        <f t="shared" si="9"/>
        <v>#REF!</v>
      </c>
      <c r="K63" s="316">
        <f t="shared" si="10"/>
        <v>0</v>
      </c>
    </row>
    <row r="64" spans="1:18" x14ac:dyDescent="0.2">
      <c r="A64" s="268"/>
      <c r="B64" s="1"/>
      <c r="C64" s="307">
        <f t="shared" si="11"/>
        <v>11</v>
      </c>
      <c r="D64" s="3" t="str">
        <f t="shared" si="7"/>
        <v>11. 2025</v>
      </c>
      <c r="E64" s="747"/>
      <c r="G64" s="3" t="e">
        <f t="shared" si="8"/>
        <v>#REF!</v>
      </c>
      <c r="H64" s="274">
        <f>'2 Techn. Angaben &amp; Produktion'!R134</f>
        <v>0</v>
      </c>
      <c r="J64" s="3" t="e">
        <f t="shared" si="9"/>
        <v>#REF!</v>
      </c>
      <c r="K64" s="315">
        <f t="shared" si="10"/>
        <v>0</v>
      </c>
    </row>
    <row r="65" spans="1:18" ht="13.5" thickBot="1" x14ac:dyDescent="0.25">
      <c r="A65" s="268"/>
      <c r="B65" s="1"/>
      <c r="C65" s="307">
        <f t="shared" si="11"/>
        <v>12</v>
      </c>
      <c r="D65" s="275" t="str">
        <f t="shared" si="7"/>
        <v>12. 2025</v>
      </c>
      <c r="E65" s="748"/>
      <c r="G65" s="314" t="e">
        <f t="shared" si="8"/>
        <v>#REF!</v>
      </c>
      <c r="H65" s="276">
        <f>'2 Techn. Angaben &amp; Produktion'!R135</f>
        <v>0</v>
      </c>
      <c r="J65" s="275" t="e">
        <f t="shared" si="9"/>
        <v>#REF!</v>
      </c>
      <c r="K65" s="317">
        <f t="shared" si="10"/>
        <v>0</v>
      </c>
    </row>
    <row r="66" spans="1:18" ht="19.5" customHeight="1" x14ac:dyDescent="0.2">
      <c r="C66" s="5">
        <f t="shared" si="11"/>
        <v>13</v>
      </c>
      <c r="D66" s="308"/>
      <c r="E66" s="309"/>
      <c r="F66" s="309"/>
      <c r="H66" s="6">
        <f>SUM(H54:H65)</f>
        <v>0</v>
      </c>
      <c r="I66" s="8"/>
      <c r="J66" s="8"/>
      <c r="K66" s="308">
        <f>SUM(K54:K65)</f>
        <v>0</v>
      </c>
      <c r="L66" s="309" t="s">
        <v>123</v>
      </c>
      <c r="M66" s="312" t="str">
        <f ca="1">OFFSET(Sprachen!A436,0,'START, DÉBUT, INIZIO'!$D$4-1,1,1)</f>
        <v>Mehrkosten für die Elektrizität für Umwälzpumpen</v>
      </c>
    </row>
    <row r="67" spans="1:18" ht="13.5" thickBot="1" x14ac:dyDescent="0.25">
      <c r="A67" s="271"/>
      <c r="B67" s="271"/>
      <c r="C67" s="271"/>
      <c r="D67" s="271"/>
      <c r="E67" s="271"/>
      <c r="F67" s="271"/>
      <c r="G67" s="271"/>
      <c r="H67" s="271"/>
      <c r="I67" s="271"/>
      <c r="J67" s="271"/>
      <c r="K67" s="271"/>
      <c r="L67" s="271"/>
      <c r="M67" s="271"/>
      <c r="N67" s="271"/>
      <c r="O67" s="271"/>
      <c r="P67" s="271"/>
      <c r="Q67" s="271"/>
      <c r="R67" s="271"/>
    </row>
    <row r="68" spans="1:18" ht="26.1" customHeight="1" x14ac:dyDescent="0.2">
      <c r="A68" s="12" t="str">
        <f ca="1">OFFSET(Sprachen!A437,0,'START, DÉBUT, INIZIO'!$D$4-1,1,1)</f>
        <v>Investitionsbedingte Kosten für Steuern</v>
      </c>
      <c r="B68" s="1"/>
      <c r="C68" s="1"/>
      <c r="D68" s="3"/>
      <c r="E68" s="912"/>
      <c r="F68" s="912"/>
      <c r="G68" s="912"/>
      <c r="H68" s="912"/>
      <c r="I68" s="912"/>
    </row>
    <row r="69" spans="1:18" x14ac:dyDescent="0.2">
      <c r="B69" s="320" t="str">
        <f ca="1">OFFSET(Sprachen!A438,0,'START, DÉBUT, INIZIO'!$D$4-1,1,1)</f>
        <v>Abschreibungen (anr. Investition / investitionsgew. Nutzungsdauer)</v>
      </c>
      <c r="D69" s="306">
        <v>1</v>
      </c>
      <c r="E69" s="409">
        <f>'3 Investitionskosten'!$N$13/'3 Investitionskosten'!$U$13</f>
        <v>0</v>
      </c>
      <c r="F69" s="330" t="s">
        <v>123</v>
      </c>
    </row>
    <row r="70" spans="1:18" x14ac:dyDescent="0.2">
      <c r="B70" s="320" t="str">
        <f ca="1">OFFSET(Sprachen!A439,0,'START, DÉBUT, INIZIO'!$D$4-1,1,1)</f>
        <v>Kapitalkosten (EK + FK)</v>
      </c>
      <c r="D70" s="307">
        <f>D69+1</f>
        <v>2</v>
      </c>
      <c r="E70" s="6">
        <f>D6-E69</f>
        <v>0</v>
      </c>
      <c r="F70" s="310" t="s">
        <v>123</v>
      </c>
    </row>
    <row r="71" spans="1:18" x14ac:dyDescent="0.2">
      <c r="B71" s="320" t="str">
        <f ca="1">OFFSET(Sprachen!A440,0,'START, DÉBUT, INIZIO'!$D$4-1,1,1)</f>
        <v>Eigenkapitalkosten</v>
      </c>
      <c r="D71" s="307">
        <f>D70+1</f>
        <v>3</v>
      </c>
      <c r="E71" s="6">
        <f>E70*Vorgaben!$D$10</f>
        <v>0</v>
      </c>
      <c r="F71" s="310" t="s">
        <v>123</v>
      </c>
    </row>
    <row r="72" spans="1:18" x14ac:dyDescent="0.2">
      <c r="B72" s="320" t="str">
        <f ca="1">OFFSET(Sprachen!A441,0,'START, DÉBUT, INIZIO'!$D$4-1,1,1)</f>
        <v>Fremdkapitalkosten</v>
      </c>
      <c r="D72" s="307">
        <f>D71+1</f>
        <v>4</v>
      </c>
      <c r="E72" s="6">
        <f>E70*Vorgaben!$D$11</f>
        <v>0</v>
      </c>
      <c r="F72" s="310" t="s">
        <v>123</v>
      </c>
    </row>
    <row r="73" spans="1:18" x14ac:dyDescent="0.2">
      <c r="B73" s="320" t="str">
        <f ca="1">OFFSET(Sprachen!A442,0,'START, DÉBUT, INIZIO'!$D$4-1,1,1)</f>
        <v>Eigenkapitalkosten vor Steuern</v>
      </c>
      <c r="D73" s="307">
        <f t="shared" ref="D73:D74" si="12">D72+1</f>
        <v>5</v>
      </c>
      <c r="E73" s="6">
        <f>E71/(1-Vorgaben!$C$7)</f>
        <v>0</v>
      </c>
      <c r="F73" s="310" t="s">
        <v>123</v>
      </c>
    </row>
    <row r="74" spans="1:18" ht="25.5" customHeight="1" x14ac:dyDescent="0.2">
      <c r="B74" s="320" t="str">
        <f ca="1">OFFSET(Sprachen!A443,0,'START, DÉBUT, INIZIO'!$D$4-1,1,1)</f>
        <v>Steuern EK</v>
      </c>
      <c r="D74" s="5">
        <f t="shared" si="12"/>
        <v>6</v>
      </c>
      <c r="E74" s="308">
        <f>E73/(1)*Vorgaben!$C$7</f>
        <v>0</v>
      </c>
      <c r="F74" s="311" t="s">
        <v>123</v>
      </c>
      <c r="G74" s="312" t="str">
        <f ca="1">OFFSET(Sprachen!A444,0,'START, DÉBUT, INIZIO'!$D$4-1,1,1)</f>
        <v>Kosten EK Steuern</v>
      </c>
    </row>
    <row r="75" spans="1:18" ht="13.5" thickBot="1" x14ac:dyDescent="0.25">
      <c r="A75" s="271"/>
      <c r="B75" s="271"/>
      <c r="C75" s="271"/>
      <c r="D75" s="271"/>
      <c r="E75" s="271"/>
      <c r="F75" s="271"/>
      <c r="G75" s="271"/>
      <c r="H75" s="271"/>
      <c r="I75" s="271"/>
      <c r="J75" s="271"/>
      <c r="K75" s="271"/>
      <c r="L75" s="271"/>
      <c r="M75" s="271"/>
      <c r="N75" s="271"/>
      <c r="O75" s="271"/>
      <c r="P75" s="271"/>
      <c r="Q75" s="271"/>
      <c r="R75" s="271"/>
    </row>
    <row r="76" spans="1:18" ht="26.1" customHeight="1" x14ac:dyDescent="0.2">
      <c r="A76" s="12" t="str">
        <f ca="1">OFFSET(Sprachen!A551,0,'START, DÉBUT, INIZIO'!$D$4-1,1,1)</f>
        <v>Kennzahlen</v>
      </c>
      <c r="B76" s="1"/>
      <c r="C76" s="1"/>
      <c r="D76" s="3"/>
      <c r="E76" s="900"/>
      <c r="F76" s="900"/>
      <c r="G76" s="900"/>
      <c r="H76" s="900"/>
      <c r="I76" s="900"/>
    </row>
    <row r="77" spans="1:18" x14ac:dyDescent="0.2">
      <c r="B77" s="351" t="str">
        <f ca="1">OFFSET(Sprachen!A552,0,'START, DÉBUT, INIZIO'!$D$4-1,1,1)</f>
        <v>Kapitalkosten</v>
      </c>
      <c r="C77" s="5">
        <v>1</v>
      </c>
      <c r="D77" s="6">
        <f>D6</f>
        <v>0</v>
      </c>
      <c r="E77" t="s">
        <v>8</v>
      </c>
      <c r="K77" s="6"/>
    </row>
    <row r="78" spans="1:18" x14ac:dyDescent="0.2">
      <c r="B78" s="351" t="str">
        <f ca="1">OFFSET(Sprachen!A553,0,'START, DÉBUT, INIZIO'!$D$4-1,1,1)</f>
        <v>Betriebskosten</v>
      </c>
      <c r="C78" s="307">
        <f t="shared" ref="C78:C90" si="13">C77+1</f>
        <v>2</v>
      </c>
      <c r="D78" s="6">
        <f>D17</f>
        <v>0</v>
      </c>
      <c r="E78" t="s">
        <v>8</v>
      </c>
      <c r="K78" s="6"/>
    </row>
    <row r="79" spans="1:18" x14ac:dyDescent="0.2">
      <c r="B79" s="351" t="str">
        <f ca="1">OFFSET(Sprachen!A554,0,'START, DÉBUT, INIZIO'!$D$4-1,1,1)</f>
        <v>Energiebewirtschaftungs- und -verwertungskosten</v>
      </c>
      <c r="C79" s="307">
        <f t="shared" si="13"/>
        <v>3</v>
      </c>
      <c r="D79" s="6">
        <f ca="1">D23</f>
        <v>0</v>
      </c>
      <c r="E79" t="s">
        <v>8</v>
      </c>
      <c r="K79" s="6"/>
    </row>
    <row r="80" spans="1:18" x14ac:dyDescent="0.2">
      <c r="B80" s="351" t="str">
        <f ca="1">OFFSET(Sprachen!A555,0,'START, DÉBUT, INIZIO'!$D$4-1,1,1)</f>
        <v>Abgaben und Leistungen an das Gemeinwesen</v>
      </c>
      <c r="C80" s="307">
        <f t="shared" si="13"/>
        <v>4</v>
      </c>
      <c r="D80" s="6">
        <f>D32</f>
        <v>0</v>
      </c>
      <c r="E80" t="s">
        <v>8</v>
      </c>
      <c r="K80" s="6"/>
    </row>
    <row r="81" spans="1:18" x14ac:dyDescent="0.2">
      <c r="B81" s="351" t="str">
        <f ca="1">OFFSET(Sprachen!A556,0,'START, DÉBUT, INIZIO'!$D$4-1,1,1)</f>
        <v>Kosten für die Elektrizität für Zubringerpumpen</v>
      </c>
      <c r="C81" s="307">
        <f t="shared" si="13"/>
        <v>5</v>
      </c>
      <c r="D81" s="6">
        <f>K49</f>
        <v>0</v>
      </c>
      <c r="E81" t="s">
        <v>8</v>
      </c>
      <c r="K81" s="6"/>
    </row>
    <row r="82" spans="1:18" x14ac:dyDescent="0.2">
      <c r="B82" s="14" t="str">
        <f ca="1">OFFSET(Sprachen!A557,0,'START, DÉBUT, INIZIO'!$D$4-1,1,1)</f>
        <v>Kosten für die Elektrizität für Umwälzpumpen</v>
      </c>
      <c r="C82" s="307">
        <f t="shared" si="13"/>
        <v>6</v>
      </c>
      <c r="D82" s="6">
        <f>K66</f>
        <v>0</v>
      </c>
      <c r="E82" t="s">
        <v>8</v>
      </c>
      <c r="K82" s="6"/>
    </row>
    <row r="83" spans="1:18" ht="13.5" thickBot="1" x14ac:dyDescent="0.25">
      <c r="B83" s="351" t="str">
        <f ca="1">OFFSET(Sprachen!A558,0,'START, DÉBUT, INIZIO'!$D$4-1,1,1)</f>
        <v>Eigenkapitalgewinnsteuer</v>
      </c>
      <c r="C83" s="762">
        <f t="shared" si="13"/>
        <v>7</v>
      </c>
      <c r="D83" s="6">
        <f>E74</f>
        <v>0</v>
      </c>
      <c r="E83" t="s">
        <v>8</v>
      </c>
      <c r="K83" s="6"/>
    </row>
    <row r="84" spans="1:18" s="235" customFormat="1" ht="21" customHeight="1" thickBot="1" x14ac:dyDescent="0.25">
      <c r="B84" s="387" t="str">
        <f ca="1">OFFSET(Sprachen!A561,0,'START, DÉBUT, INIZIO'!$D$4-1,1,1)</f>
        <v>Jahreskosten aus Investition</v>
      </c>
      <c r="C84" s="777">
        <f t="shared" si="13"/>
        <v>8</v>
      </c>
      <c r="D84" s="390">
        <f ca="1">SUM(D77:D83)</f>
        <v>0</v>
      </c>
      <c r="E84" s="388" t="s">
        <v>8</v>
      </c>
      <c r="K84" s="384"/>
    </row>
    <row r="85" spans="1:18" ht="28.5" customHeight="1" x14ac:dyDescent="0.2">
      <c r="B85" s="410" t="str">
        <f ca="1">OFFSET(Sprachen!A568,0,'START, DÉBUT, INIZIO'!$D$4-1,1,1)</f>
        <v>Mehrproduktion aus Investition (ohne neue Speicherkapazität)</v>
      </c>
      <c r="C85" s="761">
        <f t="shared" si="13"/>
        <v>9</v>
      </c>
      <c r="D85" s="409">
        <f>'2 Techn. Angaben &amp; Produktion'!R55</f>
        <v>0</v>
      </c>
      <c r="E85" s="235" t="s">
        <v>9</v>
      </c>
      <c r="K85" s="6"/>
    </row>
    <row r="86" spans="1:18" ht="12.75" customHeight="1" thickBot="1" x14ac:dyDescent="0.25">
      <c r="B86" s="351" t="str">
        <f ca="1">OFFSET(Sprachen!A569,0,'START, DÉBUT, INIZIO'!$D$4-1,1,1)</f>
        <v>Neue Speicherkapazität</v>
      </c>
      <c r="C86" s="762">
        <f t="shared" si="13"/>
        <v>10</v>
      </c>
      <c r="D86" s="6" t="e">
        <f ca="1">'2 Techn. Angaben &amp; Produktion'!V55</f>
        <v>#DIV/0!</v>
      </c>
      <c r="E86" t="s">
        <v>9</v>
      </c>
      <c r="K86" s="6"/>
    </row>
    <row r="87" spans="1:18" s="235" customFormat="1" ht="30.75" customHeight="1" thickBot="1" x14ac:dyDescent="0.25">
      <c r="B87" s="765" t="str">
        <f ca="1">OFFSET(Sprachen!A571,0,'START, DÉBUT, INIZIO'!$D$4-1,1,1)</f>
        <v>Mehrproduktion aus Investition (inkl. neue Speicherkapazität)</v>
      </c>
      <c r="C87" s="777">
        <f t="shared" si="13"/>
        <v>11</v>
      </c>
      <c r="D87" s="390">
        <f>'2 Techn. Angaben &amp; Produktion'!AB55</f>
        <v>0</v>
      </c>
      <c r="E87" s="388" t="s">
        <v>9</v>
      </c>
      <c r="K87" s="384"/>
    </row>
    <row r="88" spans="1:18" ht="19.5" customHeight="1" x14ac:dyDescent="0.2">
      <c r="A88" s="351"/>
      <c r="B88" s="351" t="str">
        <f ca="1">OFFSET(Sprachen!A574,0,'START, DÉBUT, INIZIO'!$D$4-1,1,1)</f>
        <v>Vergütungssatz</v>
      </c>
      <c r="C88" s="761">
        <f t="shared" si="13"/>
        <v>12</v>
      </c>
      <c r="D88" s="352" t="e">
        <f ca="1">D84/D87</f>
        <v>#DIV/0!</v>
      </c>
      <c r="E88" t="s">
        <v>10</v>
      </c>
      <c r="K88" s="352"/>
    </row>
    <row r="89" spans="1:18" ht="12.75" customHeight="1" thickBot="1" x14ac:dyDescent="0.25">
      <c r="A89" s="351"/>
      <c r="B89" s="14" t="str">
        <f ca="1">OFFSET(Sprachen!A626,0,'START, DÉBUT, INIZIO'!$D$4-1,1,1)</f>
        <v>maximaler Vergütungssatz</v>
      </c>
      <c r="C89" s="762">
        <f t="shared" si="13"/>
        <v>13</v>
      </c>
      <c r="D89" s="313">
        <f>Vorgaben!K4</f>
        <v>300</v>
      </c>
      <c r="E89" t="s">
        <v>10</v>
      </c>
      <c r="K89" s="352"/>
    </row>
    <row r="90" spans="1:18" ht="21" customHeight="1" thickBot="1" x14ac:dyDescent="0.25">
      <c r="A90" s="351"/>
      <c r="B90" s="387" t="str">
        <f ca="1">OFFSET(Sprachen!A574,0,'START, DÉBUT, INIZIO'!$D$4-1,1,1)</f>
        <v>Vergütungssatz</v>
      </c>
      <c r="C90" s="777">
        <f t="shared" si="13"/>
        <v>14</v>
      </c>
      <c r="D90" s="764" t="e">
        <f ca="1">IF(D88&gt;D89,D89,D88)</f>
        <v>#DIV/0!</v>
      </c>
      <c r="E90" s="388" t="s">
        <v>10</v>
      </c>
      <c r="K90" s="352"/>
    </row>
    <row r="91" spans="1:18" ht="13.5" thickBot="1" x14ac:dyDescent="0.25">
      <c r="A91" s="271"/>
      <c r="B91" s="371"/>
      <c r="C91" s="778"/>
      <c r="D91" s="371"/>
      <c r="E91" s="371"/>
      <c r="F91" s="371"/>
      <c r="G91" s="271"/>
      <c r="H91" s="271"/>
      <c r="I91" s="271"/>
      <c r="J91" s="271"/>
      <c r="K91" s="271"/>
      <c r="L91" s="271"/>
      <c r="M91" s="271"/>
      <c r="N91" s="271"/>
      <c r="O91" s="271"/>
      <c r="P91" s="271"/>
      <c r="Q91" s="271"/>
      <c r="R91" s="271"/>
    </row>
    <row r="92" spans="1:18" ht="26.1" customHeight="1" x14ac:dyDescent="0.2">
      <c r="A92" s="12"/>
      <c r="B92" s="1"/>
      <c r="C92" s="1"/>
      <c r="D92" s="3"/>
      <c r="E92" s="900"/>
      <c r="F92" s="900"/>
      <c r="G92" s="900"/>
      <c r="H92" s="900"/>
      <c r="I92" s="900"/>
    </row>
  </sheetData>
  <sheetProtection algorithmName="SHA-512" hashValue="QGdjpIEZY47al5VZ+nEPGJQX0uMmLBOm616fjTTLTuQ+obayJ0uPv3uIEwy9FmexwL8XQiph2xg8KhD6dRsC8A==" saltValue="y07xaelY2PEo4aQ1W3cN6Q==" spinCount="100000" sheet="1" objects="1" scenarios="1"/>
  <mergeCells count="26">
    <mergeCell ref="E92:I92"/>
    <mergeCell ref="E76:I76"/>
    <mergeCell ref="E51:I51"/>
    <mergeCell ref="D52:E52"/>
    <mergeCell ref="G52:H52"/>
    <mergeCell ref="J52:K52"/>
    <mergeCell ref="E68:I68"/>
    <mergeCell ref="F30:R30"/>
    <mergeCell ref="F31:R31"/>
    <mergeCell ref="E34:I34"/>
    <mergeCell ref="D35:E35"/>
    <mergeCell ref="G35:H35"/>
    <mergeCell ref="J35:K35"/>
    <mergeCell ref="D1:D2"/>
    <mergeCell ref="F29:R29"/>
    <mergeCell ref="F9:R9"/>
    <mergeCell ref="F10:R10"/>
    <mergeCell ref="F11:R11"/>
    <mergeCell ref="F12:R12"/>
    <mergeCell ref="F13:R13"/>
    <mergeCell ref="F14:R14"/>
    <mergeCell ref="F20:R20"/>
    <mergeCell ref="F21:R21"/>
    <mergeCell ref="F26:R26"/>
    <mergeCell ref="F27:R27"/>
    <mergeCell ref="F28:R28"/>
  </mergeCells>
  <hyperlinks>
    <hyperlink ref="D1" location="'START, DÉBUT, INIZIO'!A1" display="START / DÉBUT / INIZIO" xr:uid="{286B606C-42CC-4330-ADC1-9F0701E908E6}"/>
  </hyperlinks>
  <pageMargins left="0.7" right="0.7" top="0.78740157499999996" bottom="0.78740157499999996"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B36571DB-5251-467F-8427-09EBF6599532}">
            <xm:f>'START, DÉBUT, INIZIO'!$E$35&lt;&gt;5</xm:f>
            <x14:dxf>
              <font>
                <color theme="0" tint="-0.14996795556505021"/>
              </font>
              <fill>
                <patternFill patternType="none">
                  <bgColor auto="1"/>
                </patternFill>
              </fill>
            </x14:dxf>
          </x14:cfRule>
          <xm:sqref>A1:XFD1048576</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6166A-2564-429A-85A3-38B593849BF5}">
  <sheetPr>
    <tabColor rgb="FFFFC000"/>
  </sheetPr>
  <dimension ref="A1:R87"/>
  <sheetViews>
    <sheetView showGridLines="0" zoomScale="106" zoomScaleNormal="106" workbookViewId="0">
      <selection activeCell="D81" sqref="D81"/>
    </sheetView>
  </sheetViews>
  <sheetFormatPr baseColWidth="10" defaultRowHeight="12.75" x14ac:dyDescent="0.2"/>
  <cols>
    <col min="1" max="1" width="7.42578125" customWidth="1"/>
    <col min="2" max="2" width="71" customWidth="1"/>
    <col min="3" max="3" width="6.28515625" customWidth="1"/>
    <col min="4" max="4" width="16.85546875" customWidth="1"/>
    <col min="5" max="5" width="22.7109375" bestFit="1" customWidth="1"/>
    <col min="6" max="6" width="13.28515625" customWidth="1"/>
    <col min="7" max="7" width="15.42578125" customWidth="1"/>
    <col min="8" max="8" width="15.5703125" customWidth="1"/>
    <col min="9" max="9" width="11.140625" customWidth="1"/>
    <col min="10" max="10" width="15.42578125" customWidth="1"/>
    <col min="11" max="11" width="16.7109375" customWidth="1"/>
    <col min="12" max="12" width="13.42578125" customWidth="1"/>
    <col min="13" max="14" width="16.140625" customWidth="1"/>
    <col min="15" max="15" width="12.42578125" customWidth="1"/>
    <col min="16" max="17" width="15.28515625" customWidth="1"/>
    <col min="18" max="18" width="12.28515625" customWidth="1"/>
    <col min="21" max="21" width="12" customWidth="1"/>
    <col min="22" max="22" width="4.5703125" customWidth="1"/>
    <col min="24" max="24" width="14.42578125" customWidth="1"/>
    <col min="25" max="25" width="10.7109375" customWidth="1"/>
    <col min="27" max="27" width="16.28515625" customWidth="1"/>
  </cols>
  <sheetData>
    <row r="1" spans="1:18" ht="12.75" customHeight="1" x14ac:dyDescent="0.2">
      <c r="A1" s="1" t="str">
        <f ca="1">DropDown!$A$4</f>
        <v>Erhebliche Erneuerung</v>
      </c>
      <c r="D1" s="901" t="s">
        <v>1582</v>
      </c>
    </row>
    <row r="2" spans="1:18" ht="15.75" customHeight="1" x14ac:dyDescent="0.2">
      <c r="A2" s="1" t="str">
        <f ca="1">CONCATENATE(DropDown!$A$8," / ",DropDown!$A$9)</f>
        <v>nicht steuerbar &amp; &gt; 3 MWbr / &lt;= 3 MWbr</v>
      </c>
      <c r="D2" s="901"/>
    </row>
    <row r="3" spans="1:18" s="236" customFormat="1" ht="12.75" customHeight="1" thickBot="1" x14ac:dyDescent="0.25">
      <c r="A3" s="279">
        <f>'START, DÉBUT, INIZIO'!$C$21</f>
        <v>0</v>
      </c>
      <c r="B3" s="237"/>
      <c r="C3" s="237"/>
      <c r="D3" s="237"/>
      <c r="E3" s="237"/>
      <c r="F3" s="237"/>
      <c r="G3" s="237"/>
      <c r="H3" s="237"/>
      <c r="I3" s="237"/>
      <c r="J3" s="237"/>
      <c r="K3" s="237"/>
      <c r="L3" s="237"/>
      <c r="M3" s="237"/>
      <c r="N3" s="237"/>
      <c r="O3" s="237"/>
      <c r="P3" s="237"/>
      <c r="Q3" s="237"/>
      <c r="R3" s="237"/>
    </row>
    <row r="4" spans="1:18" s="236" customFormat="1" ht="25.5" customHeight="1" x14ac:dyDescent="0.2">
      <c r="A4" s="684">
        <v>4.5999999999999996</v>
      </c>
      <c r="B4" s="685" t="str">
        <f ca="1">OFFSET(Sprachen!A405,0,'START, DÉBUT, INIZIO'!$D$4-1,1,1)</f>
        <v>Jahreskosten</v>
      </c>
      <c r="C4" s="686"/>
      <c r="D4" s="686"/>
      <c r="E4" s="686"/>
      <c r="F4" s="686"/>
      <c r="G4" s="686"/>
      <c r="H4" s="686"/>
      <c r="I4" s="686"/>
      <c r="J4" s="686"/>
      <c r="K4" s="686"/>
      <c r="L4" s="686"/>
      <c r="M4" s="686"/>
      <c r="N4" s="686"/>
      <c r="O4" s="686"/>
      <c r="P4" s="686"/>
      <c r="Q4" s="686"/>
      <c r="R4" s="686"/>
    </row>
    <row r="5" spans="1:18" ht="26.1" customHeight="1" x14ac:dyDescent="0.2">
      <c r="A5" s="12" t="str">
        <f ca="1">OFFSET(Sprachen!A406,0,'START, DÉBUT, INIZIO'!$D$4-1,1,1)</f>
        <v>Investitionsbedingte Kosten für Kapital (Abschreibung + EK + FK)</v>
      </c>
      <c r="B5" s="268"/>
      <c r="C5" s="268"/>
      <c r="D5" s="3"/>
      <c r="E5" s="269"/>
      <c r="F5" s="269"/>
      <c r="G5" s="269"/>
      <c r="I5" s="1"/>
    </row>
    <row r="6" spans="1:18" x14ac:dyDescent="0.2">
      <c r="C6" s="306">
        <v>1</v>
      </c>
      <c r="D6" s="308">
        <f>'3 Investitionskosten'!$W$13</f>
        <v>0</v>
      </c>
      <c r="E6" s="312" t="s">
        <v>123</v>
      </c>
      <c r="F6" s="309" t="str">
        <f ca="1">OFFSET(Sprachen!A407,0,'START, DÉBUT, INIZIO'!$D$4-1,1,1)</f>
        <v>Anrechenbare Annuität</v>
      </c>
    </row>
    <row r="7" spans="1:18" ht="13.5" thickBot="1" x14ac:dyDescent="0.25">
      <c r="A7" s="271"/>
      <c r="B7" s="271"/>
      <c r="C7" s="271"/>
      <c r="D7" s="271"/>
      <c r="E7" s="271"/>
      <c r="F7" s="271"/>
      <c r="G7" s="271"/>
      <c r="H7" s="271"/>
      <c r="I7" s="271"/>
      <c r="J7" s="271"/>
      <c r="K7" s="271"/>
      <c r="L7" s="271"/>
      <c r="M7" s="271"/>
      <c r="N7" s="271"/>
      <c r="O7" s="271"/>
      <c r="P7" s="271"/>
      <c r="Q7" s="271"/>
      <c r="R7" s="271"/>
    </row>
    <row r="8" spans="1:18" ht="26.1" customHeight="1" x14ac:dyDescent="0.2">
      <c r="A8" s="12" t="str">
        <f ca="1">OFFSET(Sprachen!A408,0,'START, DÉBUT, INIZIO'!$D$4-1,1,1)</f>
        <v>Investitionsbedingte Kosten für Betrieb</v>
      </c>
      <c r="B8" s="268"/>
      <c r="C8" s="268"/>
      <c r="D8" s="3"/>
      <c r="E8" s="318"/>
      <c r="F8" s="1"/>
      <c r="G8" s="269"/>
      <c r="I8" s="1"/>
    </row>
    <row r="9" spans="1:18" x14ac:dyDescent="0.2">
      <c r="B9" t="str">
        <f ca="1">OFFSET(Sprachen!A409,0,'START, DÉBUT, INIZIO'!$D$4-1,1,1)</f>
        <v>Durchschnittliche Betriebskosten vor Investition</v>
      </c>
      <c r="C9" s="306">
        <v>1</v>
      </c>
      <c r="D9" s="792"/>
      <c r="E9" s="319" t="s">
        <v>123</v>
      </c>
      <c r="F9" s="1"/>
    </row>
    <row r="10" spans="1:18" x14ac:dyDescent="0.2">
      <c r="B10" t="str">
        <f ca="1">OFFSET(Sprachen!A410,0,'START, DÉBUT, INIZIO'!$D$4-1,1,1)</f>
        <v>Prozentzsatz Mehproduktion/Nettoproduktion nach Investition</v>
      </c>
      <c r="C10" s="307">
        <f>C9+1</f>
        <v>2</v>
      </c>
      <c r="D10" s="376" t="e">
        <f>D85</f>
        <v>#DIV/0!</v>
      </c>
      <c r="E10" s="310"/>
      <c r="F10" s="1"/>
    </row>
    <row r="11" spans="1:18" ht="19.5" customHeight="1" x14ac:dyDescent="0.2">
      <c r="C11" s="307">
        <f>C10+1</f>
        <v>3</v>
      </c>
      <c r="D11" s="308" t="e">
        <f>D10*D9</f>
        <v>#DIV/0!</v>
      </c>
      <c r="E11" s="311" t="s">
        <v>123</v>
      </c>
      <c r="F11" s="309" t="str">
        <f ca="1">OFFSET(Sprachen!A415,0,'START, DÉBUT, INIZIO'!$D$4-1,1,1)</f>
        <v>anrechenbare Betriebskosten</v>
      </c>
    </row>
    <row r="12" spans="1:18" ht="13.5" thickBot="1" x14ac:dyDescent="0.25">
      <c r="A12" s="271"/>
      <c r="B12" s="271"/>
      <c r="C12" s="271"/>
      <c r="D12" s="271"/>
      <c r="E12" s="271"/>
      <c r="F12" s="271"/>
      <c r="G12" s="271"/>
      <c r="H12" s="271"/>
      <c r="I12" s="271"/>
      <c r="J12" s="271"/>
      <c r="K12" s="271"/>
      <c r="L12" s="271"/>
      <c r="M12" s="271"/>
      <c r="N12" s="271"/>
      <c r="O12" s="271"/>
      <c r="P12" s="271"/>
      <c r="Q12" s="271"/>
      <c r="R12" s="271"/>
    </row>
    <row r="13" spans="1:18" ht="26.1" customHeight="1" x14ac:dyDescent="0.2">
      <c r="A13" s="12" t="str">
        <f ca="1">OFFSET(Sprachen!A416,0,'START, DÉBUT, INIZIO'!$D$4-1,1,1)</f>
        <v>Investitionsbedingte Kosten für Energiebewirtschaftung und -verwertung</v>
      </c>
      <c r="B13" s="268"/>
      <c r="C13" s="268"/>
      <c r="D13" s="3"/>
      <c r="E13" s="269"/>
      <c r="F13" s="1" t="str">
        <f ca="1">OFFSET(Sprachen!A412,0,'START, DÉBUT, INIZIO'!$D$4-1,1,1)</f>
        <v>Beschreibung</v>
      </c>
      <c r="G13" s="269"/>
      <c r="I13" s="1"/>
    </row>
    <row r="14" spans="1:18" x14ac:dyDescent="0.2">
      <c r="B14" s="1" t="str">
        <f ca="1">OFFSET(Sprachen!A417,0,'START, DÉBUT, INIZIO'!$D$4-1,1,1)</f>
        <v>Anspruch</v>
      </c>
      <c r="C14" s="306">
        <v>1</v>
      </c>
      <c r="D14" s="3" t="str">
        <f>IF('2 Techn. Angaben &amp; Produktion'!$H$10&gt;=3,"ja","nein")</f>
        <v>nein</v>
      </c>
      <c r="E14" s="269"/>
      <c r="F14" s="900" t="str">
        <f ca="1">OFFSET(Sprachen!A423,0,'START, DÉBUT, INIZIO'!$D$4-1,1,1)</f>
        <v>Anspruch haben nur Anlagen, welche nach der Investition eine mechanische Bruttoleistung &gt; 3 MW haben.</v>
      </c>
      <c r="G14" s="900"/>
      <c r="H14" s="900"/>
      <c r="I14" s="900"/>
      <c r="J14" s="900"/>
      <c r="K14" s="900"/>
      <c r="L14" s="900"/>
      <c r="M14" s="900"/>
      <c r="N14" s="900"/>
      <c r="O14" s="900"/>
      <c r="P14" s="900"/>
      <c r="Q14" s="900"/>
      <c r="R14" s="900"/>
    </row>
    <row r="15" spans="1:18" x14ac:dyDescent="0.2">
      <c r="B15" s="1">
        <f>$A$3</f>
        <v>0</v>
      </c>
      <c r="C15" s="307">
        <f>C14+1</f>
        <v>2</v>
      </c>
      <c r="D15" s="313">
        <f ca="1">OFFSET(Sprachen!A422,0,'START, DÉBUT, INIZIO'!$D$4-1,1,1)</f>
        <v>0</v>
      </c>
      <c r="E15" s="1" t="s">
        <v>132</v>
      </c>
      <c r="F15" s="900" t="str">
        <f ca="1">OFFSET(Sprachen!A424,0,'START, DÉBUT, INIZIO'!$D$4-1,1,1)</f>
        <v>EnFV Anhang 6.1, Ziffer 4.1.1, Buchstabe c</v>
      </c>
      <c r="G15" s="900"/>
      <c r="H15" s="900"/>
      <c r="I15" s="900"/>
      <c r="J15" s="900"/>
      <c r="K15" s="900"/>
      <c r="L15" s="900"/>
      <c r="M15" s="900"/>
      <c r="N15" s="900"/>
      <c r="O15" s="900"/>
      <c r="P15" s="900"/>
      <c r="Q15" s="900"/>
      <c r="R15" s="900"/>
    </row>
    <row r="16" spans="1:18" x14ac:dyDescent="0.2">
      <c r="B16" s="1" t="str">
        <f ca="1">OFFSET(Sprachen!A418,0,'START, DÉBUT, INIZIO'!$D$4-1,1,1)</f>
        <v>Durch Investition bedingte Mehrproduktion netto</v>
      </c>
      <c r="C16" s="307">
        <f>C15+1</f>
        <v>3</v>
      </c>
      <c r="D16" s="6">
        <f>'2 Techn. Angaben &amp; Produktion'!$R$55</f>
        <v>0</v>
      </c>
      <c r="E16" s="1" t="s">
        <v>9</v>
      </c>
    </row>
    <row r="17" spans="1:18" ht="19.5" customHeight="1" x14ac:dyDescent="0.2">
      <c r="C17" s="5">
        <f>C16+1</f>
        <v>4</v>
      </c>
      <c r="D17" s="308">
        <f ca="1">D15*10*D16</f>
        <v>0</v>
      </c>
      <c r="E17" s="309" t="s">
        <v>123</v>
      </c>
      <c r="F17" s="309" t="str">
        <f ca="1">OFFSET(Sprachen!A425,0,'START, DÉBUT, INIZIO'!$D$4-1,1,1)</f>
        <v>anrechenbare Energiebewirtschaftungs- und Verwertungskosten</v>
      </c>
    </row>
    <row r="18" spans="1:18" ht="13.5" thickBot="1" x14ac:dyDescent="0.25">
      <c r="A18" s="271"/>
      <c r="B18" s="271"/>
      <c r="C18" s="271"/>
      <c r="D18" s="271"/>
      <c r="E18" s="271"/>
      <c r="F18" s="271"/>
      <c r="G18" s="271"/>
      <c r="H18" s="271"/>
      <c r="I18" s="271"/>
      <c r="J18" s="271"/>
      <c r="K18" s="271"/>
      <c r="L18" s="271"/>
      <c r="M18" s="271"/>
      <c r="N18" s="271"/>
      <c r="O18" s="271"/>
      <c r="P18" s="271"/>
      <c r="Q18" s="271"/>
      <c r="R18" s="271"/>
    </row>
    <row r="19" spans="1:18" ht="26.1" customHeight="1" x14ac:dyDescent="0.2">
      <c r="A19" s="12" t="str">
        <f ca="1">OFFSET(Sprachen!A426,0,'START, DÉBUT, INIZIO'!$D$4-1,1,1)</f>
        <v>Investitionsbedingte Kosten aus Abgaben und Leistungen an das Gemeinwesen</v>
      </c>
      <c r="B19" s="268"/>
      <c r="C19" s="268"/>
      <c r="D19" s="3"/>
      <c r="E19" s="318"/>
      <c r="F19" s="1"/>
      <c r="G19" s="269"/>
      <c r="I19" s="1"/>
    </row>
    <row r="20" spans="1:18" ht="19.5" customHeight="1" x14ac:dyDescent="0.2"/>
    <row r="21" spans="1:18" x14ac:dyDescent="0.2">
      <c r="B21" s="270" t="str">
        <f ca="1">OFFSET(Sprachen!A427,0,'START, DÉBUT, INIZIO'!$D$4-1,1,1)</f>
        <v>Durchschnittliche Abgaben und Leistungen vor Investition</v>
      </c>
      <c r="C21" s="307">
        <v>1</v>
      </c>
      <c r="D21" s="792"/>
      <c r="E21" s="377" t="s">
        <v>123</v>
      </c>
      <c r="F21" s="309"/>
    </row>
    <row r="22" spans="1:18" x14ac:dyDescent="0.2">
      <c r="C22" s="5">
        <f>C21+1</f>
        <v>2</v>
      </c>
      <c r="D22" s="308" t="e">
        <f>D21*$D$10</f>
        <v>#DIV/0!</v>
      </c>
      <c r="E22" s="309" t="s">
        <v>123</v>
      </c>
      <c r="F22" s="309" t="str">
        <f ca="1">OFFSET(Sprachen!A429,0,'START, DÉBUT, INIZIO'!$D$4-1,1,1)</f>
        <v>Anrechenbare Abgaben und Leistungen an das Gemeinwesen</v>
      </c>
    </row>
    <row r="23" spans="1:18" ht="13.5" thickBot="1" x14ac:dyDescent="0.25">
      <c r="A23" s="271"/>
      <c r="B23" s="271"/>
      <c r="C23" s="271"/>
      <c r="D23" s="271"/>
      <c r="E23" s="271"/>
      <c r="F23" s="271"/>
      <c r="G23" s="271"/>
      <c r="H23" s="271"/>
      <c r="I23" s="271"/>
      <c r="J23" s="271"/>
      <c r="K23" s="271"/>
      <c r="L23" s="271"/>
      <c r="M23" s="271"/>
      <c r="N23" s="271"/>
      <c r="O23" s="271"/>
      <c r="P23" s="271"/>
      <c r="Q23" s="271"/>
      <c r="R23" s="271"/>
    </row>
    <row r="24" spans="1:18" ht="26.1" customHeight="1" x14ac:dyDescent="0.2">
      <c r="A24" s="12" t="str">
        <f ca="1">OFFSET(Sprachen!A430,0,'START, DÉBUT, INIZIO'!$D$4-1,1,1)</f>
        <v>Kosten für die Elektrizität für Zubringerpumpen</v>
      </c>
      <c r="B24" s="1"/>
      <c r="C24" s="1"/>
      <c r="D24" s="3"/>
      <c r="E24" s="900"/>
      <c r="F24" s="900"/>
      <c r="G24" s="900"/>
      <c r="H24" s="900"/>
      <c r="I24" s="900"/>
    </row>
    <row r="25" spans="1:18" ht="39.950000000000003" customHeight="1" x14ac:dyDescent="0.2">
      <c r="A25" s="12"/>
      <c r="B25" s="1"/>
      <c r="C25" s="1"/>
      <c r="D25" s="903" t="str">
        <f ca="1">OFFSET(Sprachen!A431,0,'START, DÉBUT, INIZIO'!$D$4-1,1,1)</f>
        <v>Preis investitionsbedingter Pumpenstrom (unter Annahme Projekt wäre bereits realisiert)</v>
      </c>
      <c r="E25" s="903"/>
      <c r="F25" s="1"/>
      <c r="G25" s="903" t="str">
        <f ca="1">OFFSET(Sprachen!A432,0,'START, DÉBUT, INIZIO'!$D$4-1,1,1)</f>
        <v>Investitionsbedingter Pumpenstrom Erwartungswert</v>
      </c>
      <c r="H25" s="903"/>
      <c r="I25" s="1"/>
      <c r="J25" s="903" t="str">
        <f ca="1">OFFSET(Sprachen!A433,0,'START, DÉBUT, INIZIO'!$D$4-1,1,1)</f>
        <v>Kosten investitionsbedingter Pumpenstrom (unter Annahme Projekt wäre bereits realisiert)</v>
      </c>
      <c r="K25" s="903"/>
    </row>
    <row r="26" spans="1:18" ht="13.5" thickBot="1" x14ac:dyDescent="0.25">
      <c r="A26" s="268"/>
      <c r="B26" s="1"/>
      <c r="C26" s="307"/>
      <c r="D26" s="271"/>
      <c r="E26" s="275" t="s">
        <v>10</v>
      </c>
      <c r="G26" s="417"/>
      <c r="H26" s="342" t="s">
        <v>9</v>
      </c>
      <c r="J26" s="271"/>
      <c r="K26" s="418" t="s">
        <v>8</v>
      </c>
    </row>
    <row r="27" spans="1:18" x14ac:dyDescent="0.2">
      <c r="A27" s="268"/>
      <c r="B27" s="3"/>
      <c r="C27" s="306">
        <v>1</v>
      </c>
      <c r="D27" s="3" t="str">
        <f>CONCATENATE(1,". ",Vorgaben!$C$2-1)</f>
        <v>1. 2025</v>
      </c>
      <c r="E27" s="749"/>
      <c r="G27" s="3" t="e">
        <f>#REF!</f>
        <v>#REF!</v>
      </c>
      <c r="H27" s="277">
        <f>'2 Techn. Angaben &amp; Produktion'!R95</f>
        <v>0</v>
      </c>
      <c r="J27" s="3" t="e">
        <f>G27</f>
        <v>#REF!</v>
      </c>
      <c r="K27" s="316">
        <f t="shared" ref="K27:K38" si="0">E27*H27</f>
        <v>0</v>
      </c>
    </row>
    <row r="28" spans="1:18" x14ac:dyDescent="0.2">
      <c r="A28" s="268"/>
      <c r="C28" s="307">
        <f t="shared" ref="C28:C39" si="1">C27+1</f>
        <v>2</v>
      </c>
      <c r="D28" s="3" t="str">
        <f>CONCATENATE(2,". ",Vorgaben!$C$2-1)</f>
        <v>2. 2025</v>
      </c>
      <c r="E28" s="747"/>
      <c r="G28" s="3" t="e">
        <f>#REF!</f>
        <v>#REF!</v>
      </c>
      <c r="H28" s="274">
        <f>'2 Techn. Angaben &amp; Produktion'!R96</f>
        <v>0</v>
      </c>
      <c r="J28" s="3" t="e">
        <f t="shared" ref="J28:J38" si="2">G28</f>
        <v>#REF!</v>
      </c>
      <c r="K28" s="315">
        <f t="shared" si="0"/>
        <v>0</v>
      </c>
    </row>
    <row r="29" spans="1:18" ht="13.5" thickBot="1" x14ac:dyDescent="0.25">
      <c r="A29" s="268"/>
      <c r="C29" s="307">
        <f t="shared" si="1"/>
        <v>3</v>
      </c>
      <c r="D29" s="275" t="str">
        <f>CONCATENATE(3,". ",Vorgaben!$C$2-1)</f>
        <v>3. 2025</v>
      </c>
      <c r="E29" s="748"/>
      <c r="G29" s="314" t="e">
        <f>#REF!</f>
        <v>#REF!</v>
      </c>
      <c r="H29" s="276">
        <f>'2 Techn. Angaben &amp; Produktion'!R97</f>
        <v>0</v>
      </c>
      <c r="J29" s="275" t="e">
        <f t="shared" si="2"/>
        <v>#REF!</v>
      </c>
      <c r="K29" s="317">
        <f t="shared" si="0"/>
        <v>0</v>
      </c>
    </row>
    <row r="30" spans="1:18" x14ac:dyDescent="0.2">
      <c r="A30" s="268"/>
      <c r="B30" s="3"/>
      <c r="C30" s="307">
        <f t="shared" si="1"/>
        <v>4</v>
      </c>
      <c r="D30" s="3" t="str">
        <f>CONCATENATE(4,". ",Vorgaben!$C$2-1)</f>
        <v>4. 2025</v>
      </c>
      <c r="E30" s="749"/>
      <c r="G30" s="3" t="e">
        <f>#REF!</f>
        <v>#REF!</v>
      </c>
      <c r="H30" s="277">
        <f>'2 Techn. Angaben &amp; Produktion'!R98</f>
        <v>0</v>
      </c>
      <c r="J30" s="3" t="e">
        <f t="shared" si="2"/>
        <v>#REF!</v>
      </c>
      <c r="K30" s="316">
        <f t="shared" si="0"/>
        <v>0</v>
      </c>
    </row>
    <row r="31" spans="1:18" x14ac:dyDescent="0.2">
      <c r="A31" s="268"/>
      <c r="B31" s="1"/>
      <c r="C31" s="307">
        <f t="shared" si="1"/>
        <v>5</v>
      </c>
      <c r="D31" s="3" t="str">
        <f>CONCATENATE(5,". ",Vorgaben!$C$2-1)</f>
        <v>5. 2025</v>
      </c>
      <c r="E31" s="747"/>
      <c r="G31" s="3" t="e">
        <f>#REF!</f>
        <v>#REF!</v>
      </c>
      <c r="H31" s="274">
        <f>'2 Techn. Angaben &amp; Produktion'!R99</f>
        <v>0</v>
      </c>
      <c r="J31" s="3" t="e">
        <f t="shared" si="2"/>
        <v>#REF!</v>
      </c>
      <c r="K31" s="315">
        <f t="shared" si="0"/>
        <v>0</v>
      </c>
    </row>
    <row r="32" spans="1:18" ht="13.5" thickBot="1" x14ac:dyDescent="0.25">
      <c r="A32" s="268"/>
      <c r="B32" s="1"/>
      <c r="C32" s="307">
        <f t="shared" si="1"/>
        <v>6</v>
      </c>
      <c r="D32" s="275" t="str">
        <f>CONCATENATE(6,". ",Vorgaben!$C$2-1)</f>
        <v>6. 2025</v>
      </c>
      <c r="E32" s="748"/>
      <c r="G32" s="314" t="e">
        <f>#REF!</f>
        <v>#REF!</v>
      </c>
      <c r="H32" s="276">
        <f>'2 Techn. Angaben &amp; Produktion'!R100</f>
        <v>0</v>
      </c>
      <c r="J32" s="275" t="e">
        <f t="shared" si="2"/>
        <v>#REF!</v>
      </c>
      <c r="K32" s="317">
        <f t="shared" si="0"/>
        <v>0</v>
      </c>
    </row>
    <row r="33" spans="1:18" x14ac:dyDescent="0.2">
      <c r="A33" s="268"/>
      <c r="B33" s="1"/>
      <c r="C33" s="307">
        <f t="shared" si="1"/>
        <v>7</v>
      </c>
      <c r="D33" s="3" t="str">
        <f>CONCATENATE(7,". ",Vorgaben!$C$2-1)</f>
        <v>7. 2025</v>
      </c>
      <c r="E33" s="749"/>
      <c r="G33" s="3" t="e">
        <f>#REF!</f>
        <v>#REF!</v>
      </c>
      <c r="H33" s="277">
        <f>'2 Techn. Angaben &amp; Produktion'!R101</f>
        <v>0</v>
      </c>
      <c r="J33" s="3" t="e">
        <f t="shared" si="2"/>
        <v>#REF!</v>
      </c>
      <c r="K33" s="316">
        <f t="shared" si="0"/>
        <v>0</v>
      </c>
    </row>
    <row r="34" spans="1:18" x14ac:dyDescent="0.2">
      <c r="A34" s="268"/>
      <c r="B34" s="1"/>
      <c r="C34" s="307">
        <f t="shared" si="1"/>
        <v>8</v>
      </c>
      <c r="D34" s="3" t="str">
        <f>CONCATENATE(8,". ",Vorgaben!$C$2-1)</f>
        <v>8. 2025</v>
      </c>
      <c r="E34" s="747"/>
      <c r="G34" s="3" t="e">
        <f>#REF!</f>
        <v>#REF!</v>
      </c>
      <c r="H34" s="274">
        <f>'2 Techn. Angaben &amp; Produktion'!R102</f>
        <v>0</v>
      </c>
      <c r="J34" s="3" t="e">
        <f t="shared" si="2"/>
        <v>#REF!</v>
      </c>
      <c r="K34" s="315">
        <f t="shared" si="0"/>
        <v>0</v>
      </c>
    </row>
    <row r="35" spans="1:18" ht="13.5" thickBot="1" x14ac:dyDescent="0.25">
      <c r="A35" s="268"/>
      <c r="B35" s="1"/>
      <c r="C35" s="307">
        <f t="shared" si="1"/>
        <v>9</v>
      </c>
      <c r="D35" s="275" t="str">
        <f>CONCATENATE(9,". ",Vorgaben!$C$2-1)</f>
        <v>9. 2025</v>
      </c>
      <c r="E35" s="748"/>
      <c r="G35" s="314" t="e">
        <f>#REF!</f>
        <v>#REF!</v>
      </c>
      <c r="H35" s="276">
        <f>'2 Techn. Angaben &amp; Produktion'!R103</f>
        <v>0</v>
      </c>
      <c r="J35" s="275" t="e">
        <f t="shared" si="2"/>
        <v>#REF!</v>
      </c>
      <c r="K35" s="317">
        <f t="shared" si="0"/>
        <v>0</v>
      </c>
    </row>
    <row r="36" spans="1:18" x14ac:dyDescent="0.2">
      <c r="A36" s="268"/>
      <c r="B36" s="1"/>
      <c r="C36" s="307">
        <f t="shared" si="1"/>
        <v>10</v>
      </c>
      <c r="D36" s="3" t="str">
        <f>CONCATENATE(10,". ",Vorgaben!$C$2-1)</f>
        <v>10. 2025</v>
      </c>
      <c r="E36" s="749"/>
      <c r="G36" s="3" t="e">
        <f>#REF!</f>
        <v>#REF!</v>
      </c>
      <c r="H36" s="277">
        <f>'2 Techn. Angaben &amp; Produktion'!R104</f>
        <v>0</v>
      </c>
      <c r="J36" s="3" t="e">
        <f t="shared" si="2"/>
        <v>#REF!</v>
      </c>
      <c r="K36" s="316">
        <f t="shared" si="0"/>
        <v>0</v>
      </c>
    </row>
    <row r="37" spans="1:18" x14ac:dyDescent="0.2">
      <c r="A37" s="268"/>
      <c r="B37" s="1"/>
      <c r="C37" s="307">
        <f t="shared" si="1"/>
        <v>11</v>
      </c>
      <c r="D37" s="3" t="str">
        <f>CONCATENATE(11,". ",Vorgaben!$C$2-1)</f>
        <v>11. 2025</v>
      </c>
      <c r="E37" s="747"/>
      <c r="G37" s="3" t="e">
        <f>#REF!</f>
        <v>#REF!</v>
      </c>
      <c r="H37" s="274">
        <f>'2 Techn. Angaben &amp; Produktion'!R105</f>
        <v>0</v>
      </c>
      <c r="J37" s="3" t="e">
        <f t="shared" si="2"/>
        <v>#REF!</v>
      </c>
      <c r="K37" s="315">
        <f t="shared" si="0"/>
        <v>0</v>
      </c>
    </row>
    <row r="38" spans="1:18" ht="13.5" thickBot="1" x14ac:dyDescent="0.25">
      <c r="A38" s="268"/>
      <c r="B38" s="1"/>
      <c r="C38" s="307">
        <f t="shared" si="1"/>
        <v>12</v>
      </c>
      <c r="D38" s="275" t="str">
        <f>CONCATENATE(12,". ",Vorgaben!$C$2-1)</f>
        <v>12. 2025</v>
      </c>
      <c r="E38" s="748"/>
      <c r="G38" s="314" t="e">
        <f>#REF!</f>
        <v>#REF!</v>
      </c>
      <c r="H38" s="276">
        <f>'2 Techn. Angaben &amp; Produktion'!R106</f>
        <v>0</v>
      </c>
      <c r="J38" s="275" t="e">
        <f t="shared" si="2"/>
        <v>#REF!</v>
      </c>
      <c r="K38" s="317">
        <f t="shared" si="0"/>
        <v>0</v>
      </c>
    </row>
    <row r="39" spans="1:18" ht="19.5" customHeight="1" x14ac:dyDescent="0.2">
      <c r="C39" s="5">
        <f t="shared" si="1"/>
        <v>13</v>
      </c>
      <c r="D39" s="308"/>
      <c r="E39" s="309"/>
      <c r="F39" s="309"/>
      <c r="H39" s="6">
        <f>SUM(H27:H38)</f>
        <v>0</v>
      </c>
      <c r="I39" s="8"/>
      <c r="J39" s="8"/>
      <c r="K39" s="308">
        <f>SUM(K27:K38)</f>
        <v>0</v>
      </c>
      <c r="L39" s="309" t="s">
        <v>123</v>
      </c>
      <c r="M39" s="312" t="str">
        <f ca="1">OFFSET(Sprachen!A434,0,'START, DÉBUT, INIZIO'!$D$4-1,1,1)</f>
        <v>Mehrkrosten für die Elektrizität für Zubringerpumpen</v>
      </c>
    </row>
    <row r="40" spans="1:18" ht="13.5" thickBot="1" x14ac:dyDescent="0.25">
      <c r="A40" s="271"/>
      <c r="B40" s="271"/>
      <c r="C40" s="271"/>
      <c r="D40" s="271"/>
      <c r="E40" s="271"/>
      <c r="F40" s="271"/>
      <c r="G40" s="271"/>
      <c r="H40" s="271"/>
      <c r="I40" s="271"/>
      <c r="J40" s="271"/>
      <c r="K40" s="271"/>
      <c r="L40" s="271"/>
      <c r="M40" s="271"/>
      <c r="N40" s="271"/>
      <c r="O40" s="271"/>
      <c r="P40" s="271"/>
      <c r="Q40" s="271"/>
      <c r="R40" s="271"/>
    </row>
    <row r="41" spans="1:18" ht="26.1" customHeight="1" x14ac:dyDescent="0.2">
      <c r="A41" s="12" t="str">
        <f ca="1">OFFSET(Sprachen!A435,0,'START, DÉBUT, INIZIO'!$D$4-1,1,1)</f>
        <v>Kosten für die Elektrizität für Umwälzpumpen</v>
      </c>
      <c r="B41" s="1"/>
      <c r="C41" s="1"/>
      <c r="D41" s="3"/>
      <c r="E41" s="900"/>
      <c r="F41" s="900"/>
      <c r="G41" s="900"/>
      <c r="H41" s="900"/>
      <c r="I41" s="900"/>
    </row>
    <row r="42" spans="1:18" ht="40.5" customHeight="1" x14ac:dyDescent="0.2">
      <c r="A42" s="12"/>
      <c r="B42" s="1"/>
      <c r="C42" s="1"/>
      <c r="D42" s="903" t="str">
        <f ca="1">D25</f>
        <v>Preis investitionsbedingter Pumpenstrom (unter Annahme Projekt wäre bereits realisiert)</v>
      </c>
      <c r="E42" s="903"/>
      <c r="F42" s="1"/>
      <c r="G42" s="903" t="str">
        <f ca="1">G25</f>
        <v>Investitionsbedingter Pumpenstrom Erwartungswert</v>
      </c>
      <c r="H42" s="903"/>
      <c r="I42" s="1"/>
      <c r="J42" s="903" t="str">
        <f ca="1">J25</f>
        <v>Kosten investitionsbedingter Pumpenstrom (unter Annahme Projekt wäre bereits realisiert)</v>
      </c>
      <c r="K42" s="903"/>
    </row>
    <row r="43" spans="1:18" ht="13.5" thickBot="1" x14ac:dyDescent="0.25">
      <c r="A43" s="268"/>
      <c r="B43" s="1"/>
      <c r="C43" s="307"/>
      <c r="D43" s="271"/>
      <c r="E43" s="275" t="s">
        <v>10</v>
      </c>
      <c r="G43" s="417"/>
      <c r="H43" s="342" t="s">
        <v>9</v>
      </c>
      <c r="J43" s="271"/>
      <c r="K43" s="418" t="s">
        <v>8</v>
      </c>
    </row>
    <row r="44" spans="1:18" x14ac:dyDescent="0.2">
      <c r="A44" s="268"/>
      <c r="B44" s="3"/>
      <c r="C44" s="306">
        <v>1</v>
      </c>
      <c r="D44" s="3" t="str">
        <f t="shared" ref="D44:D55" si="3">D27</f>
        <v>1. 2025</v>
      </c>
      <c r="E44" s="749"/>
      <c r="G44" s="3" t="e">
        <f t="shared" ref="G44:G55" si="4">G27</f>
        <v>#REF!</v>
      </c>
      <c r="H44" s="277">
        <f>'2 Techn. Angaben &amp; Produktion'!R121</f>
        <v>0</v>
      </c>
      <c r="J44" s="3" t="e">
        <f t="shared" ref="J44:J55" si="5">J27</f>
        <v>#REF!</v>
      </c>
      <c r="K44" s="316">
        <f t="shared" ref="K44:K55" si="6">E44*H44</f>
        <v>0</v>
      </c>
    </row>
    <row r="45" spans="1:18" x14ac:dyDescent="0.2">
      <c r="A45" s="268"/>
      <c r="C45" s="307">
        <f t="shared" ref="C45:C56" si="7">C44+1</f>
        <v>2</v>
      </c>
      <c r="D45" s="3" t="str">
        <f t="shared" si="3"/>
        <v>2. 2025</v>
      </c>
      <c r="E45" s="747"/>
      <c r="G45" s="3" t="e">
        <f t="shared" si="4"/>
        <v>#REF!</v>
      </c>
      <c r="H45" s="274">
        <f>'2 Techn. Angaben &amp; Produktion'!R122</f>
        <v>0</v>
      </c>
      <c r="J45" s="3" t="e">
        <f t="shared" si="5"/>
        <v>#REF!</v>
      </c>
      <c r="K45" s="315">
        <f t="shared" si="6"/>
        <v>0</v>
      </c>
    </row>
    <row r="46" spans="1:18" ht="13.5" thickBot="1" x14ac:dyDescent="0.25">
      <c r="A46" s="268"/>
      <c r="C46" s="307">
        <f t="shared" si="7"/>
        <v>3</v>
      </c>
      <c r="D46" s="275" t="str">
        <f t="shared" si="3"/>
        <v>3. 2025</v>
      </c>
      <c r="E46" s="748"/>
      <c r="G46" s="314" t="e">
        <f t="shared" si="4"/>
        <v>#REF!</v>
      </c>
      <c r="H46" s="276">
        <f>'2 Techn. Angaben &amp; Produktion'!R123</f>
        <v>0</v>
      </c>
      <c r="J46" s="275" t="e">
        <f t="shared" si="5"/>
        <v>#REF!</v>
      </c>
      <c r="K46" s="317">
        <f t="shared" si="6"/>
        <v>0</v>
      </c>
    </row>
    <row r="47" spans="1:18" x14ac:dyDescent="0.2">
      <c r="A47" s="268"/>
      <c r="B47" s="3"/>
      <c r="C47" s="307">
        <f t="shared" si="7"/>
        <v>4</v>
      </c>
      <c r="D47" s="3" t="str">
        <f t="shared" si="3"/>
        <v>4. 2025</v>
      </c>
      <c r="E47" s="749"/>
      <c r="G47" s="3" t="e">
        <f t="shared" si="4"/>
        <v>#REF!</v>
      </c>
      <c r="H47" s="277">
        <f>'2 Techn. Angaben &amp; Produktion'!R124</f>
        <v>0</v>
      </c>
      <c r="J47" s="3" t="e">
        <f t="shared" si="5"/>
        <v>#REF!</v>
      </c>
      <c r="K47" s="316">
        <f t="shared" si="6"/>
        <v>0</v>
      </c>
    </row>
    <row r="48" spans="1:18" x14ac:dyDescent="0.2">
      <c r="A48" s="268"/>
      <c r="B48" s="1"/>
      <c r="C48" s="307">
        <f t="shared" si="7"/>
        <v>5</v>
      </c>
      <c r="D48" s="3" t="str">
        <f t="shared" si="3"/>
        <v>5. 2025</v>
      </c>
      <c r="E48" s="747"/>
      <c r="G48" s="3" t="e">
        <f t="shared" si="4"/>
        <v>#REF!</v>
      </c>
      <c r="H48" s="274">
        <f>'2 Techn. Angaben &amp; Produktion'!R125</f>
        <v>0</v>
      </c>
      <c r="J48" s="3" t="e">
        <f t="shared" si="5"/>
        <v>#REF!</v>
      </c>
      <c r="K48" s="315">
        <f t="shared" si="6"/>
        <v>0</v>
      </c>
    </row>
    <row r="49" spans="1:18" ht="13.5" thickBot="1" x14ac:dyDescent="0.25">
      <c r="A49" s="268"/>
      <c r="B49" s="1"/>
      <c r="C49" s="307">
        <f t="shared" si="7"/>
        <v>6</v>
      </c>
      <c r="D49" s="275" t="str">
        <f t="shared" si="3"/>
        <v>6. 2025</v>
      </c>
      <c r="E49" s="748"/>
      <c r="G49" s="314" t="e">
        <f t="shared" si="4"/>
        <v>#REF!</v>
      </c>
      <c r="H49" s="276">
        <f>'2 Techn. Angaben &amp; Produktion'!R126</f>
        <v>0</v>
      </c>
      <c r="J49" s="275" t="e">
        <f t="shared" si="5"/>
        <v>#REF!</v>
      </c>
      <c r="K49" s="317">
        <f t="shared" si="6"/>
        <v>0</v>
      </c>
    </row>
    <row r="50" spans="1:18" x14ac:dyDescent="0.2">
      <c r="A50" s="268"/>
      <c r="B50" s="1"/>
      <c r="C50" s="307">
        <f t="shared" si="7"/>
        <v>7</v>
      </c>
      <c r="D50" s="3" t="str">
        <f t="shared" si="3"/>
        <v>7. 2025</v>
      </c>
      <c r="E50" s="749"/>
      <c r="G50" s="3" t="e">
        <f t="shared" si="4"/>
        <v>#REF!</v>
      </c>
      <c r="H50" s="277">
        <f>'2 Techn. Angaben &amp; Produktion'!R127</f>
        <v>0</v>
      </c>
      <c r="J50" s="3" t="e">
        <f t="shared" si="5"/>
        <v>#REF!</v>
      </c>
      <c r="K50" s="316">
        <f t="shared" si="6"/>
        <v>0</v>
      </c>
    </row>
    <row r="51" spans="1:18" x14ac:dyDescent="0.2">
      <c r="A51" s="268"/>
      <c r="B51" s="1"/>
      <c r="C51" s="307">
        <f t="shared" si="7"/>
        <v>8</v>
      </c>
      <c r="D51" s="3" t="str">
        <f t="shared" si="3"/>
        <v>8. 2025</v>
      </c>
      <c r="E51" s="747"/>
      <c r="G51" s="3" t="e">
        <f t="shared" si="4"/>
        <v>#REF!</v>
      </c>
      <c r="H51" s="274">
        <f>'2 Techn. Angaben &amp; Produktion'!R128</f>
        <v>0</v>
      </c>
      <c r="J51" s="3" t="e">
        <f t="shared" si="5"/>
        <v>#REF!</v>
      </c>
      <c r="K51" s="315">
        <f t="shared" si="6"/>
        <v>0</v>
      </c>
    </row>
    <row r="52" spans="1:18" ht="13.5" thickBot="1" x14ac:dyDescent="0.25">
      <c r="A52" s="268"/>
      <c r="B52" s="1"/>
      <c r="C52" s="307">
        <f t="shared" si="7"/>
        <v>9</v>
      </c>
      <c r="D52" s="275" t="str">
        <f t="shared" si="3"/>
        <v>9. 2025</v>
      </c>
      <c r="E52" s="748"/>
      <c r="G52" s="314" t="e">
        <f t="shared" si="4"/>
        <v>#REF!</v>
      </c>
      <c r="H52" s="276">
        <f>'2 Techn. Angaben &amp; Produktion'!R129</f>
        <v>0</v>
      </c>
      <c r="J52" s="275" t="e">
        <f t="shared" si="5"/>
        <v>#REF!</v>
      </c>
      <c r="K52" s="317">
        <f t="shared" si="6"/>
        <v>0</v>
      </c>
    </row>
    <row r="53" spans="1:18" x14ac:dyDescent="0.2">
      <c r="A53" s="268"/>
      <c r="B53" s="1"/>
      <c r="C53" s="307">
        <f t="shared" si="7"/>
        <v>10</v>
      </c>
      <c r="D53" s="3" t="str">
        <f t="shared" si="3"/>
        <v>10. 2025</v>
      </c>
      <c r="E53" s="749"/>
      <c r="G53" s="3" t="e">
        <f t="shared" si="4"/>
        <v>#REF!</v>
      </c>
      <c r="H53" s="277">
        <f>'2 Techn. Angaben &amp; Produktion'!R130</f>
        <v>0</v>
      </c>
      <c r="J53" s="3" t="e">
        <f t="shared" si="5"/>
        <v>#REF!</v>
      </c>
      <c r="K53" s="316">
        <f t="shared" si="6"/>
        <v>0</v>
      </c>
    </row>
    <row r="54" spans="1:18" x14ac:dyDescent="0.2">
      <c r="A54" s="268"/>
      <c r="B54" s="1"/>
      <c r="C54" s="307">
        <f t="shared" si="7"/>
        <v>11</v>
      </c>
      <c r="D54" s="3" t="str">
        <f t="shared" si="3"/>
        <v>11. 2025</v>
      </c>
      <c r="E54" s="747"/>
      <c r="G54" s="3" t="e">
        <f t="shared" si="4"/>
        <v>#REF!</v>
      </c>
      <c r="H54" s="274">
        <f>'2 Techn. Angaben &amp; Produktion'!R131</f>
        <v>0</v>
      </c>
      <c r="J54" s="3" t="e">
        <f t="shared" si="5"/>
        <v>#REF!</v>
      </c>
      <c r="K54" s="315">
        <f t="shared" si="6"/>
        <v>0</v>
      </c>
    </row>
    <row r="55" spans="1:18" ht="13.5" thickBot="1" x14ac:dyDescent="0.25">
      <c r="A55" s="268"/>
      <c r="B55" s="1"/>
      <c r="C55" s="307">
        <f t="shared" si="7"/>
        <v>12</v>
      </c>
      <c r="D55" s="275" t="str">
        <f t="shared" si="3"/>
        <v>12. 2025</v>
      </c>
      <c r="E55" s="748"/>
      <c r="G55" s="314" t="e">
        <f t="shared" si="4"/>
        <v>#REF!</v>
      </c>
      <c r="H55" s="276">
        <f>'2 Techn. Angaben &amp; Produktion'!R132</f>
        <v>0</v>
      </c>
      <c r="J55" s="275" t="e">
        <f t="shared" si="5"/>
        <v>#REF!</v>
      </c>
      <c r="K55" s="317">
        <f t="shared" si="6"/>
        <v>0</v>
      </c>
    </row>
    <row r="56" spans="1:18" ht="19.5" customHeight="1" x14ac:dyDescent="0.2">
      <c r="C56" s="5">
        <f t="shared" si="7"/>
        <v>13</v>
      </c>
      <c r="D56" s="308"/>
      <c r="E56" s="309"/>
      <c r="F56" s="309"/>
      <c r="H56" s="6">
        <f>SUM(H44:H55)</f>
        <v>0</v>
      </c>
      <c r="I56" s="8"/>
      <c r="J56" s="8"/>
      <c r="K56" s="308">
        <f>SUM(K44:K55)</f>
        <v>0</v>
      </c>
      <c r="L56" s="309" t="s">
        <v>123</v>
      </c>
      <c r="M56" s="312" t="str">
        <f ca="1">OFFSET(Sprachen!A436,0,'START, DÉBUT, INIZIO'!$D$4-1,1,1)</f>
        <v>Mehrkosten für die Elektrizität für Umwälzpumpen</v>
      </c>
    </row>
    <row r="57" spans="1:18" ht="13.5" thickBot="1" x14ac:dyDescent="0.25">
      <c r="A57" s="271"/>
      <c r="B57" s="271"/>
      <c r="C57" s="271"/>
      <c r="D57" s="271"/>
      <c r="E57" s="271"/>
      <c r="F57" s="271"/>
      <c r="G57" s="271"/>
      <c r="H57" s="271"/>
      <c r="I57" s="271"/>
      <c r="J57" s="271"/>
      <c r="K57" s="271"/>
      <c r="L57" s="271"/>
      <c r="M57" s="271"/>
      <c r="N57" s="271"/>
      <c r="O57" s="271"/>
      <c r="P57" s="271"/>
      <c r="Q57" s="271"/>
      <c r="R57" s="271"/>
    </row>
    <row r="58" spans="1:18" ht="26.1" customHeight="1" x14ac:dyDescent="0.2">
      <c r="A58" s="12" t="str">
        <f ca="1">OFFSET(Sprachen!A437,0,'START, DÉBUT, INIZIO'!$D$4-1,1,1)</f>
        <v>Investitionsbedingte Kosten für Steuern</v>
      </c>
      <c r="B58" s="1"/>
      <c r="C58" s="1"/>
      <c r="D58" s="3"/>
      <c r="E58" s="900"/>
      <c r="F58" s="900"/>
      <c r="G58" s="900"/>
      <c r="H58" s="900"/>
      <c r="I58" s="900"/>
    </row>
    <row r="59" spans="1:18" x14ac:dyDescent="0.2">
      <c r="B59" t="str">
        <f ca="1">OFFSET(Sprachen!A438,0,'START, DÉBUT, INIZIO'!$D$4-1,1,1)</f>
        <v>Abschreibungen (anr. Investition / investitionsgew. Nutzungsdauer)</v>
      </c>
      <c r="D59" s="306">
        <v>1</v>
      </c>
      <c r="E59" s="6">
        <f>'3 Investitionskosten'!$N$13/'3 Investitionskosten'!$U$13</f>
        <v>0</v>
      </c>
      <c r="F59" s="310" t="s">
        <v>123</v>
      </c>
    </row>
    <row r="60" spans="1:18" x14ac:dyDescent="0.2">
      <c r="B60" t="str">
        <f ca="1">OFFSET(Sprachen!A439,0,'START, DÉBUT, INIZIO'!$D$4-1,1,1)</f>
        <v>Kapitalkosten (EK + FK)</v>
      </c>
      <c r="D60" s="307">
        <f>D59+1</f>
        <v>2</v>
      </c>
      <c r="E60" s="6">
        <f>D6-E59</f>
        <v>0</v>
      </c>
      <c r="F60" s="310" t="s">
        <v>123</v>
      </c>
    </row>
    <row r="61" spans="1:18" x14ac:dyDescent="0.2">
      <c r="B61" t="str">
        <f ca="1">OFFSET(Sprachen!A440,0,'START, DÉBUT, INIZIO'!$D$4-1,1,1)</f>
        <v>Eigenkapitalkosten</v>
      </c>
      <c r="D61" s="307">
        <f>D60+1</f>
        <v>3</v>
      </c>
      <c r="E61" s="6">
        <f>E60*Vorgaben!$D$10</f>
        <v>0</v>
      </c>
      <c r="F61" s="310" t="s">
        <v>123</v>
      </c>
    </row>
    <row r="62" spans="1:18" x14ac:dyDescent="0.2">
      <c r="B62" t="str">
        <f ca="1">OFFSET(Sprachen!A441,0,'START, DÉBUT, INIZIO'!$D$4-1,1,1)</f>
        <v>Fremdkapitalkosten</v>
      </c>
      <c r="D62" s="307">
        <f>D61+1</f>
        <v>4</v>
      </c>
      <c r="E62" s="6">
        <f>E60*Vorgaben!$D$11</f>
        <v>0</v>
      </c>
      <c r="F62" s="310" t="s">
        <v>123</v>
      </c>
    </row>
    <row r="63" spans="1:18" x14ac:dyDescent="0.2">
      <c r="B63" s="320" t="str">
        <f ca="1">'4.3'!B64</f>
        <v>Eigenkapitalkosten vor Steuern</v>
      </c>
      <c r="D63" s="307">
        <f t="shared" ref="D63:D64" si="8">D62+1</f>
        <v>5</v>
      </c>
      <c r="E63" s="6">
        <f>E61/(1-Vorgaben!$C$7)</f>
        <v>0</v>
      </c>
      <c r="F63" s="310" t="s">
        <v>123</v>
      </c>
    </row>
    <row r="64" spans="1:18" ht="25.5" customHeight="1" x14ac:dyDescent="0.2">
      <c r="B64" s="320" t="str">
        <f ca="1">'4.3'!B65</f>
        <v>Steuern EK</v>
      </c>
      <c r="D64" s="5">
        <f t="shared" si="8"/>
        <v>6</v>
      </c>
      <c r="E64" s="308">
        <f>E63/(1)*Vorgaben!$C$7</f>
        <v>0</v>
      </c>
      <c r="F64" s="311" t="s">
        <v>123</v>
      </c>
      <c r="G64" s="312" t="str">
        <f ca="1">'4.3'!G65</f>
        <v>Kosten EK Steuern</v>
      </c>
    </row>
    <row r="65" spans="1:18" ht="13.5" thickBot="1" x14ac:dyDescent="0.25">
      <c r="A65" s="271"/>
      <c r="B65" s="271"/>
      <c r="C65" s="271"/>
      <c r="D65" s="271"/>
      <c r="E65" s="271"/>
      <c r="F65" s="271"/>
      <c r="G65" s="271"/>
      <c r="H65" s="271"/>
      <c r="I65" s="271"/>
      <c r="J65" s="271"/>
      <c r="K65" s="271"/>
      <c r="L65" s="271"/>
      <c r="M65" s="271"/>
      <c r="N65" s="271"/>
      <c r="O65" s="271"/>
      <c r="P65" s="271"/>
      <c r="Q65" s="271"/>
      <c r="R65" s="271"/>
    </row>
    <row r="66" spans="1:18" ht="26.1" customHeight="1" x14ac:dyDescent="0.2">
      <c r="A66" s="12" t="str">
        <f ca="1">OFFSET(Sprachen!A551,0,'START, DÉBUT, INIZIO'!$D$4-1,1,1)</f>
        <v>Kennzahlen</v>
      </c>
      <c r="B66" s="1"/>
      <c r="C66" s="1"/>
      <c r="D66" s="3"/>
      <c r="E66" s="912"/>
      <c r="F66" s="912"/>
      <c r="G66" s="912"/>
      <c r="H66" s="912"/>
      <c r="I66" s="912"/>
    </row>
    <row r="67" spans="1:18" x14ac:dyDescent="0.2">
      <c r="B67" s="351" t="str">
        <f ca="1">OFFSET(Sprachen!A552,0,'START, DÉBUT, INIZIO'!$D$4-1,1,1)</f>
        <v>Kapitalkosten</v>
      </c>
      <c r="C67" s="5">
        <v>1</v>
      </c>
      <c r="D67" s="6">
        <f>D6</f>
        <v>0</v>
      </c>
      <c r="E67" t="s">
        <v>8</v>
      </c>
      <c r="K67" s="6"/>
    </row>
    <row r="68" spans="1:18" x14ac:dyDescent="0.2">
      <c r="B68" s="351" t="str">
        <f ca="1">OFFSET(Sprachen!A553,0,'START, DÉBUT, INIZIO'!$D$4-1,1,1)</f>
        <v>Betriebskosten</v>
      </c>
      <c r="C68" s="307">
        <f t="shared" ref="C68:C80" si="9">C67+1</f>
        <v>2</v>
      </c>
      <c r="D68" s="6" t="e">
        <f>D11</f>
        <v>#DIV/0!</v>
      </c>
      <c r="E68" t="s">
        <v>8</v>
      </c>
      <c r="K68" s="6"/>
    </row>
    <row r="69" spans="1:18" x14ac:dyDescent="0.2">
      <c r="B69" s="351" t="str">
        <f ca="1">OFFSET(Sprachen!A554,0,'START, DÉBUT, INIZIO'!$D$4-1,1,1)</f>
        <v>Energiebewirtschaftungs- und -verwertungskosten</v>
      </c>
      <c r="C69" s="307">
        <f t="shared" si="9"/>
        <v>3</v>
      </c>
      <c r="D69" s="6">
        <f ca="1">D17</f>
        <v>0</v>
      </c>
      <c r="E69" t="s">
        <v>8</v>
      </c>
      <c r="K69" s="6"/>
    </row>
    <row r="70" spans="1:18" x14ac:dyDescent="0.2">
      <c r="B70" s="351" t="str">
        <f ca="1">OFFSET(Sprachen!A555,0,'START, DÉBUT, INIZIO'!$D$4-1,1,1)</f>
        <v>Abgaben und Leistungen an das Gemeinwesen</v>
      </c>
      <c r="C70" s="307">
        <f t="shared" si="9"/>
        <v>4</v>
      </c>
      <c r="D70" s="6" t="e">
        <f>D22</f>
        <v>#DIV/0!</v>
      </c>
      <c r="E70" t="s">
        <v>8</v>
      </c>
      <c r="K70" s="6"/>
    </row>
    <row r="71" spans="1:18" x14ac:dyDescent="0.2">
      <c r="B71" s="351" t="str">
        <f ca="1">OFFSET(Sprachen!A556,0,'START, DÉBUT, INIZIO'!$D$4-1,1,1)</f>
        <v>Kosten für die Elektrizität für Zubringerpumpen</v>
      </c>
      <c r="C71" s="307">
        <f t="shared" si="9"/>
        <v>5</v>
      </c>
      <c r="D71" s="6">
        <f>K39</f>
        <v>0</v>
      </c>
      <c r="E71" t="s">
        <v>8</v>
      </c>
      <c r="K71" s="6"/>
    </row>
    <row r="72" spans="1:18" x14ac:dyDescent="0.2">
      <c r="B72" s="14" t="str">
        <f ca="1">OFFSET(Sprachen!A557,0,'START, DÉBUT, INIZIO'!$D$4-1,1,1)</f>
        <v>Kosten für die Elektrizität für Umwälzpumpen</v>
      </c>
      <c r="C72" s="307">
        <f t="shared" si="9"/>
        <v>6</v>
      </c>
      <c r="D72" s="6">
        <f>K56</f>
        <v>0</v>
      </c>
      <c r="E72" t="s">
        <v>8</v>
      </c>
      <c r="K72" s="6"/>
    </row>
    <row r="73" spans="1:18" ht="13.5" thickBot="1" x14ac:dyDescent="0.25">
      <c r="B73" s="351" t="str">
        <f ca="1">OFFSET(Sprachen!A558,0,'START, DÉBUT, INIZIO'!$D$4-1,1,1)</f>
        <v>Eigenkapitalgewinnsteuer</v>
      </c>
      <c r="C73" s="762">
        <f t="shared" si="9"/>
        <v>7</v>
      </c>
      <c r="D73" s="6">
        <f>E64</f>
        <v>0</v>
      </c>
      <c r="E73" t="s">
        <v>8</v>
      </c>
      <c r="K73" s="6"/>
    </row>
    <row r="74" spans="1:18" s="235" customFormat="1" ht="21" customHeight="1" thickBot="1" x14ac:dyDescent="0.25">
      <c r="B74" s="387" t="str">
        <f ca="1">OFFSET(Sprachen!A561,0,'START, DÉBUT, INIZIO'!$D$4-1,1,1)</f>
        <v>Jahreskosten aus Investition</v>
      </c>
      <c r="C74" s="777">
        <f t="shared" si="9"/>
        <v>8</v>
      </c>
      <c r="D74" s="390" t="e">
        <f>SUM(D67:D73)</f>
        <v>#DIV/0!</v>
      </c>
      <c r="E74" s="388" t="s">
        <v>8</v>
      </c>
      <c r="K74" s="384"/>
    </row>
    <row r="75" spans="1:18" ht="24.75" customHeight="1" x14ac:dyDescent="0.2">
      <c r="B75" s="416" t="str">
        <f ca="1">OFFSET(Sprachen!A568,0,'START, DÉBUT, INIZIO'!$D$4-1,1,1)</f>
        <v>Mehrproduktion aus Investition (ohne neue Speicherkapazität)</v>
      </c>
      <c r="C75" s="761">
        <f t="shared" si="9"/>
        <v>9</v>
      </c>
      <c r="D75" s="409">
        <f>'2 Techn. Angaben &amp; Produktion'!R55</f>
        <v>0</v>
      </c>
      <c r="E75" s="235" t="s">
        <v>9</v>
      </c>
      <c r="K75" s="6"/>
    </row>
    <row r="76" spans="1:18" ht="12.75" customHeight="1" thickBot="1" x14ac:dyDescent="0.25">
      <c r="B76" s="351" t="str">
        <f ca="1">OFFSET(Sprachen!A569,0,'START, DÉBUT, INIZIO'!$D$4-1,1,1)</f>
        <v>Neue Speicherkapazität</v>
      </c>
      <c r="C76" s="762">
        <f t="shared" si="9"/>
        <v>10</v>
      </c>
      <c r="D76" s="6" t="e">
        <f ca="1">'2 Techn. Angaben &amp; Produktion'!V55</f>
        <v>#DIV/0!</v>
      </c>
      <c r="E76" t="s">
        <v>9</v>
      </c>
      <c r="K76" s="6"/>
    </row>
    <row r="77" spans="1:18" s="235" customFormat="1" ht="30.75" customHeight="1" thickBot="1" x14ac:dyDescent="0.25">
      <c r="B77" s="765" t="str">
        <f ca="1">OFFSET(Sprachen!A571,0,'START, DÉBUT, INIZIO'!$D$4-1,1,1)</f>
        <v>Mehrproduktion aus Investition (inkl. neue Speicherkapazität)</v>
      </c>
      <c r="C77" s="777">
        <f t="shared" si="9"/>
        <v>11</v>
      </c>
      <c r="D77" s="390">
        <f>'2 Techn. Angaben &amp; Produktion'!AB55</f>
        <v>0</v>
      </c>
      <c r="E77" s="388" t="s">
        <v>9</v>
      </c>
      <c r="K77" s="384"/>
    </row>
    <row r="78" spans="1:18" ht="19.5" customHeight="1" x14ac:dyDescent="0.2">
      <c r="A78" s="351"/>
      <c r="B78" s="351" t="str">
        <f ca="1">OFFSET(Sprachen!A573,0,'START, DÉBUT, INIZIO'!$D$4-1,1,1)</f>
        <v>Vergütungssatz berechnet</v>
      </c>
      <c r="C78" s="761">
        <f t="shared" si="9"/>
        <v>12</v>
      </c>
      <c r="D78" s="352" t="e">
        <f>D74/D77</f>
        <v>#DIV/0!</v>
      </c>
      <c r="E78" t="s">
        <v>10</v>
      </c>
      <c r="K78" s="352"/>
    </row>
    <row r="79" spans="1:18" ht="12.75" customHeight="1" thickBot="1" x14ac:dyDescent="0.25">
      <c r="A79" s="351"/>
      <c r="B79" s="14" t="str">
        <f ca="1">OFFSET(Sprachen!A626,0,'START, DÉBUT, INIZIO'!$D$4-1,1,1)</f>
        <v>maximaler Vergütungssatz</v>
      </c>
      <c r="C79" s="762">
        <f t="shared" si="9"/>
        <v>13</v>
      </c>
      <c r="D79" s="313">
        <f>Vorgaben!K6</f>
        <v>100</v>
      </c>
      <c r="E79" t="s">
        <v>10</v>
      </c>
      <c r="K79" s="352"/>
    </row>
    <row r="80" spans="1:18" ht="20.25" customHeight="1" thickBot="1" x14ac:dyDescent="0.25">
      <c r="A80" s="351"/>
      <c r="B80" s="387" t="str">
        <f ca="1">OFFSET(Sprachen!A574,0,'START, DÉBUT, INIZIO'!$D$4-1,1,1)</f>
        <v>Vergütungssatz</v>
      </c>
      <c r="C80" s="777">
        <f t="shared" si="9"/>
        <v>14</v>
      </c>
      <c r="D80" s="764" t="e">
        <f>IF(D78&gt;D79,D79,D78)</f>
        <v>#DIV/0!</v>
      </c>
      <c r="E80" s="388" t="s">
        <v>10</v>
      </c>
      <c r="K80" s="352"/>
    </row>
    <row r="81" spans="1:18" ht="13.5" thickBot="1" x14ac:dyDescent="0.25">
      <c r="A81" s="271"/>
      <c r="B81" s="371"/>
      <c r="C81" s="778"/>
      <c r="D81" s="371"/>
      <c r="E81" s="371"/>
      <c r="F81" s="371"/>
      <c r="G81" s="271"/>
      <c r="H81" s="271"/>
      <c r="I81" s="271"/>
      <c r="J81" s="271"/>
      <c r="K81" s="271"/>
      <c r="L81" s="271"/>
      <c r="M81" s="271"/>
      <c r="N81" s="271"/>
      <c r="O81" s="271"/>
      <c r="P81" s="271"/>
      <c r="Q81" s="271"/>
      <c r="R81" s="271"/>
    </row>
    <row r="82" spans="1:18" ht="26.1" customHeight="1" x14ac:dyDescent="0.2">
      <c r="A82" s="12" t="str">
        <f ca="1">OFFSET(Sprachen!A578,0,'START, DÉBUT, INIZIO'!$D$4-1,1,1)</f>
        <v>Jährlich zu bestimmender Prozentsatz zur Ermittlung der Mehrproduktion aus Investition, der Betriebskosten und den Abgaben</v>
      </c>
      <c r="B82" s="1"/>
      <c r="C82" s="1"/>
      <c r="D82" s="3"/>
      <c r="E82" s="1"/>
    </row>
    <row r="83" spans="1:18" x14ac:dyDescent="0.2">
      <c r="B83" s="14" t="str">
        <f ca="1">B75</f>
        <v>Mehrproduktion aus Investition (ohne neue Speicherkapazität)</v>
      </c>
      <c r="C83" s="307">
        <v>1</v>
      </c>
      <c r="D83" s="6">
        <f>D75</f>
        <v>0</v>
      </c>
      <c r="E83" s="1" t="s">
        <v>9</v>
      </c>
    </row>
    <row r="84" spans="1:18" x14ac:dyDescent="0.2">
      <c r="B84" s="14" t="str">
        <f ca="1">OFFSET(Sprachen!A570,0,'START, DÉBUT, INIZIO'!$D$4-1,1,1)</f>
        <v>Nettoproduktion nach Investition (ohne neue Speicherkapazität)</v>
      </c>
      <c r="C84" s="307">
        <f>C83+1</f>
        <v>2</v>
      </c>
      <c r="D84" s="6">
        <f>SUM('2 Techn. Angaben &amp; Produktion'!N43:N54)</f>
        <v>0</v>
      </c>
      <c r="E84" s="1" t="s">
        <v>9</v>
      </c>
    </row>
    <row r="85" spans="1:18" x14ac:dyDescent="0.2">
      <c r="B85" s="414" t="str">
        <f ca="1">OFFSET(Sprachen!A581,0,'START, DÉBUT, INIZIO'!$D$4-1,1,1)</f>
        <v>Prozentsatz</v>
      </c>
      <c r="C85" s="307">
        <f>C84+1</f>
        <v>3</v>
      </c>
      <c r="D85" s="415" t="e">
        <f>D83/D84</f>
        <v>#DIV/0!</v>
      </c>
      <c r="E85" s="235"/>
    </row>
    <row r="86" spans="1:18" ht="13.5" thickBot="1" x14ac:dyDescent="0.25">
      <c r="A86" s="271"/>
      <c r="B86" s="371"/>
      <c r="C86" s="371"/>
      <c r="D86" s="371"/>
      <c r="E86" s="375"/>
      <c r="F86" s="371"/>
      <c r="G86" s="271"/>
      <c r="H86" s="271"/>
      <c r="I86" s="271"/>
      <c r="J86" s="271"/>
      <c r="K86" s="271"/>
      <c r="L86" s="271"/>
      <c r="M86" s="271"/>
      <c r="N86" s="271"/>
      <c r="O86" s="271"/>
      <c r="P86" s="271"/>
      <c r="Q86" s="271"/>
      <c r="R86" s="271"/>
    </row>
    <row r="87" spans="1:18" ht="26.1" customHeight="1" x14ac:dyDescent="0.2">
      <c r="A87" s="12"/>
      <c r="B87" s="1"/>
      <c r="C87" s="1"/>
      <c r="D87" s="3"/>
      <c r="E87" s="1"/>
    </row>
  </sheetData>
  <sheetProtection algorithmName="SHA-512" hashValue="yP3F5yATbN+fKY9yKqeRycSzoVzVQkB71Uwt02VR4RDjm2qGzA42baXZn+tdrHydr3l6cBjDb51g/1z2iyGV4w==" saltValue="qSrz7fGTncxvk/VopGf4Fw==" spinCount="100000" sheet="1" objects="1" scenarios="1"/>
  <mergeCells count="13">
    <mergeCell ref="E66:I66"/>
    <mergeCell ref="D1:D2"/>
    <mergeCell ref="F14:R14"/>
    <mergeCell ref="F15:R15"/>
    <mergeCell ref="E24:I24"/>
    <mergeCell ref="D25:E25"/>
    <mergeCell ref="G25:H25"/>
    <mergeCell ref="J25:K25"/>
    <mergeCell ref="E41:I41"/>
    <mergeCell ref="D42:E42"/>
    <mergeCell ref="G42:H42"/>
    <mergeCell ref="J42:K42"/>
    <mergeCell ref="E58:I58"/>
  </mergeCells>
  <hyperlinks>
    <hyperlink ref="D1" location="'START, DÉBUT, INIZIO'!A1" display="START / DÉBUT / INIZIO" xr:uid="{743310D2-12FD-4F58-B433-C4FD9165D5BE}"/>
  </hyperlinks>
  <pageMargins left="0.7" right="0.7" top="0.78740157499999996" bottom="0.78740157499999996" header="0.3" footer="0.3"/>
  <pageSetup paperSize="9" orientation="portrait" horizontalDpi="90" verticalDpi="90" r:id="rId1"/>
  <extLst>
    <ext xmlns:x14="http://schemas.microsoft.com/office/spreadsheetml/2009/9/main" uri="{78C0D931-6437-407d-A8EE-F0AAD7539E65}">
      <x14:conditionalFormattings>
        <x14:conditionalFormatting xmlns:xm="http://schemas.microsoft.com/office/excel/2006/main">
          <x14:cfRule type="expression" priority="1" id="{FE4497D7-D559-43F8-8693-9DE10CC5A75F}">
            <xm:f>'START, DÉBUT, INIZIO'!$E$35&lt;&gt;6</xm:f>
            <x14:dxf>
              <font>
                <color theme="0" tint="-0.14996795556505021"/>
              </font>
              <fill>
                <patternFill patternType="none">
                  <bgColor auto="1"/>
                </patternFill>
              </fill>
            </x14:dxf>
          </x14:cfRule>
          <xm:sqref>A1:XFD1048576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F5F90-9612-4C5A-A7FF-C2ED4055200E}">
  <sheetPr>
    <tabColor theme="3" tint="0.749992370372631"/>
  </sheetPr>
  <dimension ref="A1:DS14"/>
  <sheetViews>
    <sheetView workbookViewId="0">
      <selection activeCell="B7" sqref="B7"/>
    </sheetView>
  </sheetViews>
  <sheetFormatPr baseColWidth="10" defaultColWidth="10.85546875" defaultRowHeight="12.75" x14ac:dyDescent="0.2"/>
  <cols>
    <col min="1" max="1" width="33.5703125" customWidth="1"/>
    <col min="2" max="2" width="5.7109375" bestFit="1" customWidth="1"/>
    <col min="3" max="3" width="31.28515625" bestFit="1" customWidth="1"/>
    <col min="4" max="13" width="4.85546875" bestFit="1" customWidth="1"/>
    <col min="14" max="17" width="5.85546875" bestFit="1" customWidth="1"/>
    <col min="18" max="18" width="4.85546875" bestFit="1" customWidth="1"/>
    <col min="19" max="22" width="5.85546875" bestFit="1" customWidth="1"/>
    <col min="23" max="33" width="4.85546875" bestFit="1" customWidth="1"/>
    <col min="34" max="34" width="6.85546875" bestFit="1" customWidth="1"/>
    <col min="35" max="35" width="5.85546875" bestFit="1" customWidth="1"/>
    <col min="36" max="36" width="6.85546875" bestFit="1" customWidth="1"/>
    <col min="37" max="37" width="5.85546875" bestFit="1" customWidth="1"/>
    <col min="38" max="38" width="6.85546875" bestFit="1" customWidth="1"/>
    <col min="39" max="39" width="5.85546875" bestFit="1" customWidth="1"/>
    <col min="40" max="40" width="6.85546875" bestFit="1" customWidth="1"/>
    <col min="41" max="41" width="5.85546875" bestFit="1" customWidth="1"/>
    <col min="42" max="42" width="6.85546875" bestFit="1" customWidth="1"/>
    <col min="43" max="43" width="5.85546875" bestFit="1" customWidth="1"/>
    <col min="44" max="44" width="6.85546875" bestFit="1" customWidth="1"/>
    <col min="45" max="45" width="5.85546875" bestFit="1" customWidth="1"/>
    <col min="46" max="46" width="6.85546875" bestFit="1" customWidth="1"/>
    <col min="47" max="47" width="5.85546875" bestFit="1" customWidth="1"/>
    <col min="48" max="48" width="6.85546875" bestFit="1" customWidth="1"/>
    <col min="49" max="49" width="5.85546875" bestFit="1" customWidth="1"/>
    <col min="50" max="50" width="6.85546875" bestFit="1" customWidth="1"/>
    <col min="51" max="51" width="5.85546875" bestFit="1" customWidth="1"/>
    <col min="52" max="52" width="6.85546875" bestFit="1" customWidth="1"/>
    <col min="53" max="103" width="4.85546875" bestFit="1" customWidth="1"/>
    <col min="104" max="123" width="4.42578125" customWidth="1"/>
  </cols>
  <sheetData>
    <row r="1" spans="1:123" x14ac:dyDescent="0.2">
      <c r="B1" t="str">
        <f ca="1">OFFSET(Sprachen!A584,0,'START, DÉBUT, INIZIO'!$D$4-1,1,1)</f>
        <v>Jahr</v>
      </c>
      <c r="D1">
        <v>1</v>
      </c>
      <c r="E1">
        <v>2</v>
      </c>
      <c r="F1">
        <v>3</v>
      </c>
      <c r="G1">
        <v>4</v>
      </c>
      <c r="H1">
        <v>5</v>
      </c>
      <c r="I1">
        <v>6</v>
      </c>
      <c r="J1">
        <v>7</v>
      </c>
      <c r="K1">
        <v>8</v>
      </c>
      <c r="L1">
        <v>9</v>
      </c>
      <c r="M1">
        <v>10</v>
      </c>
      <c r="N1">
        <v>11</v>
      </c>
      <c r="O1">
        <v>12</v>
      </c>
      <c r="P1">
        <v>13</v>
      </c>
      <c r="Q1">
        <v>14</v>
      </c>
      <c r="R1">
        <v>15</v>
      </c>
      <c r="S1">
        <v>16</v>
      </c>
      <c r="T1">
        <v>17</v>
      </c>
      <c r="U1">
        <v>18</v>
      </c>
      <c r="V1">
        <v>19</v>
      </c>
      <c r="W1">
        <v>20</v>
      </c>
      <c r="X1">
        <v>21</v>
      </c>
      <c r="Y1">
        <v>22</v>
      </c>
      <c r="Z1">
        <v>23</v>
      </c>
      <c r="AA1">
        <v>24</v>
      </c>
      <c r="AB1">
        <v>25</v>
      </c>
      <c r="AC1">
        <v>26</v>
      </c>
      <c r="AD1">
        <v>27</v>
      </c>
      <c r="AE1">
        <v>28</v>
      </c>
      <c r="AF1">
        <v>29</v>
      </c>
      <c r="AG1">
        <v>30</v>
      </c>
      <c r="AH1">
        <v>31</v>
      </c>
      <c r="AI1">
        <v>32</v>
      </c>
      <c r="AJ1">
        <v>33</v>
      </c>
      <c r="AK1">
        <v>34</v>
      </c>
      <c r="AL1">
        <v>35</v>
      </c>
      <c r="AM1">
        <v>36</v>
      </c>
      <c r="AN1">
        <v>37</v>
      </c>
      <c r="AO1">
        <v>38</v>
      </c>
      <c r="AP1">
        <v>39</v>
      </c>
      <c r="AQ1">
        <v>40</v>
      </c>
      <c r="AR1">
        <v>41</v>
      </c>
      <c r="AS1">
        <v>42</v>
      </c>
      <c r="AT1">
        <v>43</v>
      </c>
      <c r="AU1">
        <v>44</v>
      </c>
      <c r="AV1">
        <v>45</v>
      </c>
      <c r="AW1">
        <v>46</v>
      </c>
      <c r="AX1">
        <v>47</v>
      </c>
      <c r="AY1">
        <v>48</v>
      </c>
      <c r="AZ1">
        <v>49</v>
      </c>
      <c r="BA1">
        <v>50</v>
      </c>
      <c r="BB1">
        <v>51</v>
      </c>
      <c r="BC1">
        <v>52</v>
      </c>
      <c r="BD1">
        <v>53</v>
      </c>
      <c r="BE1">
        <v>54</v>
      </c>
      <c r="BF1">
        <v>55</v>
      </c>
      <c r="BG1">
        <v>56</v>
      </c>
      <c r="BH1">
        <v>57</v>
      </c>
      <c r="BI1">
        <v>58</v>
      </c>
      <c r="BJ1">
        <v>59</v>
      </c>
      <c r="BK1">
        <v>60</v>
      </c>
      <c r="BL1">
        <v>61</v>
      </c>
      <c r="BM1">
        <v>62</v>
      </c>
      <c r="BN1">
        <v>63</v>
      </c>
      <c r="BO1">
        <v>64</v>
      </c>
      <c r="BP1">
        <v>65</v>
      </c>
      <c r="BQ1">
        <v>66</v>
      </c>
      <c r="BR1">
        <v>67</v>
      </c>
      <c r="BS1">
        <v>68</v>
      </c>
      <c r="BT1">
        <v>69</v>
      </c>
      <c r="BU1">
        <v>70</v>
      </c>
      <c r="BV1">
        <v>71</v>
      </c>
      <c r="BW1">
        <v>72</v>
      </c>
      <c r="BX1">
        <v>73</v>
      </c>
      <c r="BY1">
        <v>74</v>
      </c>
      <c r="BZ1">
        <v>75</v>
      </c>
      <c r="CA1">
        <v>76</v>
      </c>
      <c r="CB1">
        <v>77</v>
      </c>
      <c r="CC1">
        <v>78</v>
      </c>
      <c r="CD1">
        <v>79</v>
      </c>
      <c r="CE1">
        <v>80</v>
      </c>
      <c r="CF1">
        <v>81</v>
      </c>
      <c r="CG1">
        <v>82</v>
      </c>
      <c r="CH1">
        <v>83</v>
      </c>
      <c r="CI1">
        <v>84</v>
      </c>
      <c r="CJ1">
        <v>85</v>
      </c>
      <c r="CK1">
        <v>86</v>
      </c>
      <c r="CL1">
        <v>87</v>
      </c>
      <c r="CM1">
        <v>88</v>
      </c>
      <c r="CN1">
        <v>89</v>
      </c>
      <c r="CO1">
        <v>90</v>
      </c>
      <c r="CP1">
        <v>91</v>
      </c>
      <c r="CQ1">
        <v>92</v>
      </c>
      <c r="CR1">
        <v>93</v>
      </c>
      <c r="CS1">
        <v>94</v>
      </c>
      <c r="CT1">
        <v>95</v>
      </c>
      <c r="CU1">
        <v>96</v>
      </c>
      <c r="CV1">
        <v>97</v>
      </c>
      <c r="CW1">
        <v>98</v>
      </c>
      <c r="CX1">
        <v>99</v>
      </c>
      <c r="CY1">
        <v>100</v>
      </c>
    </row>
    <row r="2" spans="1:123" x14ac:dyDescent="0.2">
      <c r="D2">
        <f>Vorgaben!$C$2</f>
        <v>2026</v>
      </c>
      <c r="E2">
        <f>D2+1</f>
        <v>2027</v>
      </c>
      <c r="F2">
        <f t="shared" ref="F2:BQ2" si="0">E2+1</f>
        <v>2028</v>
      </c>
      <c r="G2">
        <f t="shared" si="0"/>
        <v>2029</v>
      </c>
      <c r="H2">
        <f t="shared" si="0"/>
        <v>2030</v>
      </c>
      <c r="I2">
        <f t="shared" si="0"/>
        <v>2031</v>
      </c>
      <c r="J2">
        <f t="shared" si="0"/>
        <v>2032</v>
      </c>
      <c r="K2">
        <f t="shared" si="0"/>
        <v>2033</v>
      </c>
      <c r="L2">
        <f t="shared" si="0"/>
        <v>2034</v>
      </c>
      <c r="M2">
        <f t="shared" si="0"/>
        <v>2035</v>
      </c>
      <c r="N2">
        <f t="shared" si="0"/>
        <v>2036</v>
      </c>
      <c r="O2">
        <f t="shared" si="0"/>
        <v>2037</v>
      </c>
      <c r="P2">
        <f t="shared" si="0"/>
        <v>2038</v>
      </c>
      <c r="Q2">
        <f t="shared" si="0"/>
        <v>2039</v>
      </c>
      <c r="R2">
        <f t="shared" si="0"/>
        <v>2040</v>
      </c>
      <c r="S2">
        <f t="shared" si="0"/>
        <v>2041</v>
      </c>
      <c r="T2">
        <f t="shared" si="0"/>
        <v>2042</v>
      </c>
      <c r="U2">
        <f t="shared" si="0"/>
        <v>2043</v>
      </c>
      <c r="V2">
        <f t="shared" si="0"/>
        <v>2044</v>
      </c>
      <c r="W2">
        <f t="shared" si="0"/>
        <v>2045</v>
      </c>
      <c r="X2">
        <f t="shared" si="0"/>
        <v>2046</v>
      </c>
      <c r="Y2">
        <f t="shared" si="0"/>
        <v>2047</v>
      </c>
      <c r="Z2">
        <f t="shared" si="0"/>
        <v>2048</v>
      </c>
      <c r="AA2">
        <f t="shared" si="0"/>
        <v>2049</v>
      </c>
      <c r="AB2">
        <f t="shared" si="0"/>
        <v>2050</v>
      </c>
      <c r="AC2">
        <f t="shared" si="0"/>
        <v>2051</v>
      </c>
      <c r="AD2">
        <f t="shared" si="0"/>
        <v>2052</v>
      </c>
      <c r="AE2">
        <f t="shared" si="0"/>
        <v>2053</v>
      </c>
      <c r="AF2">
        <f t="shared" si="0"/>
        <v>2054</v>
      </c>
      <c r="AG2">
        <f t="shared" si="0"/>
        <v>2055</v>
      </c>
      <c r="AH2">
        <f t="shared" si="0"/>
        <v>2056</v>
      </c>
      <c r="AI2">
        <f t="shared" si="0"/>
        <v>2057</v>
      </c>
      <c r="AJ2">
        <f t="shared" si="0"/>
        <v>2058</v>
      </c>
      <c r="AK2">
        <f t="shared" si="0"/>
        <v>2059</v>
      </c>
      <c r="AL2">
        <f t="shared" si="0"/>
        <v>2060</v>
      </c>
      <c r="AM2">
        <f t="shared" si="0"/>
        <v>2061</v>
      </c>
      <c r="AN2">
        <f t="shared" si="0"/>
        <v>2062</v>
      </c>
      <c r="AO2">
        <f t="shared" si="0"/>
        <v>2063</v>
      </c>
      <c r="AP2">
        <f t="shared" si="0"/>
        <v>2064</v>
      </c>
      <c r="AQ2">
        <f t="shared" si="0"/>
        <v>2065</v>
      </c>
      <c r="AR2">
        <f t="shared" si="0"/>
        <v>2066</v>
      </c>
      <c r="AS2">
        <f t="shared" si="0"/>
        <v>2067</v>
      </c>
      <c r="AT2">
        <f t="shared" si="0"/>
        <v>2068</v>
      </c>
      <c r="AU2">
        <f t="shared" si="0"/>
        <v>2069</v>
      </c>
      <c r="AV2">
        <f t="shared" si="0"/>
        <v>2070</v>
      </c>
      <c r="AW2">
        <f t="shared" si="0"/>
        <v>2071</v>
      </c>
      <c r="AX2">
        <f t="shared" si="0"/>
        <v>2072</v>
      </c>
      <c r="AY2">
        <f t="shared" si="0"/>
        <v>2073</v>
      </c>
      <c r="AZ2">
        <f t="shared" si="0"/>
        <v>2074</v>
      </c>
      <c r="BA2">
        <f t="shared" si="0"/>
        <v>2075</v>
      </c>
      <c r="BB2">
        <f t="shared" si="0"/>
        <v>2076</v>
      </c>
      <c r="BC2">
        <f t="shared" si="0"/>
        <v>2077</v>
      </c>
      <c r="BD2">
        <f t="shared" si="0"/>
        <v>2078</v>
      </c>
      <c r="BE2">
        <f t="shared" si="0"/>
        <v>2079</v>
      </c>
      <c r="BF2">
        <f t="shared" si="0"/>
        <v>2080</v>
      </c>
      <c r="BG2">
        <f t="shared" si="0"/>
        <v>2081</v>
      </c>
      <c r="BH2">
        <f t="shared" si="0"/>
        <v>2082</v>
      </c>
      <c r="BI2">
        <f t="shared" si="0"/>
        <v>2083</v>
      </c>
      <c r="BJ2">
        <f t="shared" si="0"/>
        <v>2084</v>
      </c>
      <c r="BK2">
        <f t="shared" si="0"/>
        <v>2085</v>
      </c>
      <c r="BL2">
        <f t="shared" si="0"/>
        <v>2086</v>
      </c>
      <c r="BM2">
        <f t="shared" si="0"/>
        <v>2087</v>
      </c>
      <c r="BN2">
        <f t="shared" si="0"/>
        <v>2088</v>
      </c>
      <c r="BO2">
        <f t="shared" si="0"/>
        <v>2089</v>
      </c>
      <c r="BP2">
        <f t="shared" si="0"/>
        <v>2090</v>
      </c>
      <c r="BQ2">
        <f t="shared" si="0"/>
        <v>2091</v>
      </c>
      <c r="BR2">
        <f t="shared" ref="BR2:CY2" si="1">BQ2+1</f>
        <v>2092</v>
      </c>
      <c r="BS2">
        <f t="shared" si="1"/>
        <v>2093</v>
      </c>
      <c r="BT2">
        <f t="shared" si="1"/>
        <v>2094</v>
      </c>
      <c r="BU2">
        <f t="shared" si="1"/>
        <v>2095</v>
      </c>
      <c r="BV2">
        <f t="shared" si="1"/>
        <v>2096</v>
      </c>
      <c r="BW2">
        <f t="shared" si="1"/>
        <v>2097</v>
      </c>
      <c r="BX2">
        <f t="shared" si="1"/>
        <v>2098</v>
      </c>
      <c r="BY2">
        <f t="shared" si="1"/>
        <v>2099</v>
      </c>
      <c r="BZ2">
        <f t="shared" si="1"/>
        <v>2100</v>
      </c>
      <c r="CA2">
        <f t="shared" si="1"/>
        <v>2101</v>
      </c>
      <c r="CB2">
        <f t="shared" si="1"/>
        <v>2102</v>
      </c>
      <c r="CC2">
        <f t="shared" si="1"/>
        <v>2103</v>
      </c>
      <c r="CD2">
        <f t="shared" si="1"/>
        <v>2104</v>
      </c>
      <c r="CE2">
        <f t="shared" si="1"/>
        <v>2105</v>
      </c>
      <c r="CF2">
        <f t="shared" si="1"/>
        <v>2106</v>
      </c>
      <c r="CG2">
        <f t="shared" si="1"/>
        <v>2107</v>
      </c>
      <c r="CH2">
        <f t="shared" si="1"/>
        <v>2108</v>
      </c>
      <c r="CI2">
        <f t="shared" si="1"/>
        <v>2109</v>
      </c>
      <c r="CJ2">
        <f t="shared" si="1"/>
        <v>2110</v>
      </c>
      <c r="CK2">
        <f t="shared" si="1"/>
        <v>2111</v>
      </c>
      <c r="CL2">
        <f t="shared" si="1"/>
        <v>2112</v>
      </c>
      <c r="CM2">
        <f t="shared" si="1"/>
        <v>2113</v>
      </c>
      <c r="CN2">
        <f t="shared" si="1"/>
        <v>2114</v>
      </c>
      <c r="CO2">
        <f t="shared" si="1"/>
        <v>2115</v>
      </c>
      <c r="CP2">
        <f t="shared" si="1"/>
        <v>2116</v>
      </c>
      <c r="CQ2">
        <f t="shared" si="1"/>
        <v>2117</v>
      </c>
      <c r="CR2">
        <f t="shared" si="1"/>
        <v>2118</v>
      </c>
      <c r="CS2">
        <f t="shared" si="1"/>
        <v>2119</v>
      </c>
      <c r="CT2">
        <f t="shared" si="1"/>
        <v>2120</v>
      </c>
      <c r="CU2">
        <f t="shared" si="1"/>
        <v>2121</v>
      </c>
      <c r="CV2">
        <f t="shared" si="1"/>
        <v>2122</v>
      </c>
      <c r="CW2">
        <f t="shared" si="1"/>
        <v>2123</v>
      </c>
      <c r="CX2">
        <f t="shared" si="1"/>
        <v>2124</v>
      </c>
      <c r="CY2">
        <f t="shared" si="1"/>
        <v>2125</v>
      </c>
    </row>
    <row r="3" spans="1:123" x14ac:dyDescent="0.2">
      <c r="C3" s="1" t="str">
        <f ca="1">OFFSET(Sprachen!A591,0,'START, DÉBUT, INIZIO'!$D$4-1,1,1)</f>
        <v>Index</v>
      </c>
      <c r="D3" s="400">
        <f>IF(D$1&lt;=$B$7,$B$6,IF(AND(D$1&gt;$B$7,D$1&lt;=($B$7+$B$8)),B3+$C$8,IF(D$1&lt;=$B$10,$B$9,IF(AND(D$1&gt;$B$10,D$1&lt;=($B$10+$B$11)),B3+$C$11,$B$12))))</f>
        <v>1</v>
      </c>
      <c r="E3" s="400">
        <f t="shared" ref="E3:BP3" si="2">IF(E$1&lt;=$B$7,$B$6,IF(AND(E$1&gt;$B$7,E$1&lt;=($B$7+$B$8)),D3+$C$8,IF(E$1&lt;=$B$10,$B$9,IF(AND(E$1&gt;$B$10,E$1&lt;=($B$10+$B$11)),D3+$C$11,$B$12))))</f>
        <v>1</v>
      </c>
      <c r="F3" s="400">
        <f t="shared" si="2"/>
        <v>1</v>
      </c>
      <c r="G3" s="400">
        <f t="shared" si="2"/>
        <v>1</v>
      </c>
      <c r="H3" s="400">
        <f t="shared" si="2"/>
        <v>1</v>
      </c>
      <c r="I3" s="400">
        <f t="shared" si="2"/>
        <v>1</v>
      </c>
      <c r="J3" s="400">
        <f t="shared" si="2"/>
        <v>1</v>
      </c>
      <c r="K3" s="400">
        <f t="shared" si="2"/>
        <v>1</v>
      </c>
      <c r="L3" s="400">
        <f t="shared" si="2"/>
        <v>1</v>
      </c>
      <c r="M3" s="400">
        <f t="shared" si="2"/>
        <v>1</v>
      </c>
      <c r="N3" s="400">
        <f t="shared" si="2"/>
        <v>0.995</v>
      </c>
      <c r="O3" s="400">
        <f t="shared" si="2"/>
        <v>0.99</v>
      </c>
      <c r="P3" s="400">
        <f t="shared" si="2"/>
        <v>0.98499999999999999</v>
      </c>
      <c r="Q3" s="400">
        <f t="shared" si="2"/>
        <v>0.98</v>
      </c>
      <c r="R3" s="400">
        <f t="shared" si="2"/>
        <v>0.97499999999999998</v>
      </c>
      <c r="S3" s="400">
        <f t="shared" si="2"/>
        <v>0.97</v>
      </c>
      <c r="T3" s="400">
        <f t="shared" si="2"/>
        <v>0.96499999999999997</v>
      </c>
      <c r="U3" s="400">
        <f t="shared" si="2"/>
        <v>0.96</v>
      </c>
      <c r="V3" s="400">
        <f t="shared" si="2"/>
        <v>0.95499999999999996</v>
      </c>
      <c r="W3" s="400">
        <f t="shared" si="2"/>
        <v>0.95</v>
      </c>
      <c r="X3" s="400">
        <f t="shared" si="2"/>
        <v>0.95</v>
      </c>
      <c r="Y3" s="400">
        <f t="shared" si="2"/>
        <v>0.95</v>
      </c>
      <c r="Z3" s="400">
        <f t="shared" si="2"/>
        <v>0.95</v>
      </c>
      <c r="AA3" s="400">
        <f t="shared" si="2"/>
        <v>0.95</v>
      </c>
      <c r="AB3" s="400">
        <f t="shared" si="2"/>
        <v>0.95</v>
      </c>
      <c r="AC3" s="400">
        <f t="shared" si="2"/>
        <v>0.95</v>
      </c>
      <c r="AD3" s="400">
        <f t="shared" si="2"/>
        <v>0.95</v>
      </c>
      <c r="AE3" s="400">
        <f t="shared" si="2"/>
        <v>0.95</v>
      </c>
      <c r="AF3" s="400">
        <f t="shared" si="2"/>
        <v>0.95</v>
      </c>
      <c r="AG3" s="400">
        <f t="shared" si="2"/>
        <v>0.95</v>
      </c>
      <c r="AH3" s="400">
        <f t="shared" si="2"/>
        <v>0.94750000000000001</v>
      </c>
      <c r="AI3" s="400">
        <f t="shared" si="2"/>
        <v>0.94500000000000006</v>
      </c>
      <c r="AJ3" s="400">
        <f t="shared" si="2"/>
        <v>0.94250000000000012</v>
      </c>
      <c r="AK3" s="400">
        <f t="shared" si="2"/>
        <v>0.94000000000000017</v>
      </c>
      <c r="AL3" s="400">
        <f t="shared" si="2"/>
        <v>0.93750000000000022</v>
      </c>
      <c r="AM3" s="400">
        <f t="shared" si="2"/>
        <v>0.93500000000000028</v>
      </c>
      <c r="AN3" s="400">
        <f t="shared" si="2"/>
        <v>0.93250000000000033</v>
      </c>
      <c r="AO3" s="400">
        <f t="shared" si="2"/>
        <v>0.93000000000000038</v>
      </c>
      <c r="AP3" s="400">
        <f t="shared" si="2"/>
        <v>0.92750000000000044</v>
      </c>
      <c r="AQ3" s="400">
        <f t="shared" si="2"/>
        <v>0.92500000000000049</v>
      </c>
      <c r="AR3" s="400">
        <f t="shared" si="2"/>
        <v>0.92250000000000054</v>
      </c>
      <c r="AS3" s="400">
        <f t="shared" si="2"/>
        <v>0.9200000000000006</v>
      </c>
      <c r="AT3" s="400">
        <f t="shared" si="2"/>
        <v>0.91750000000000065</v>
      </c>
      <c r="AU3" s="400">
        <f t="shared" si="2"/>
        <v>0.9150000000000007</v>
      </c>
      <c r="AV3" s="400">
        <f t="shared" si="2"/>
        <v>0.91250000000000075</v>
      </c>
      <c r="AW3" s="400">
        <f t="shared" si="2"/>
        <v>0.91000000000000081</v>
      </c>
      <c r="AX3" s="400">
        <f t="shared" si="2"/>
        <v>0.90750000000000086</v>
      </c>
      <c r="AY3" s="400">
        <f t="shared" si="2"/>
        <v>0.90500000000000091</v>
      </c>
      <c r="AZ3" s="400">
        <f t="shared" si="2"/>
        <v>0.90250000000000097</v>
      </c>
      <c r="BA3" s="400">
        <f t="shared" si="2"/>
        <v>0.90000000000000102</v>
      </c>
      <c r="BB3" s="400">
        <f t="shared" si="2"/>
        <v>0.9</v>
      </c>
      <c r="BC3" s="400">
        <f t="shared" si="2"/>
        <v>0.9</v>
      </c>
      <c r="BD3" s="400">
        <f t="shared" si="2"/>
        <v>0.9</v>
      </c>
      <c r="BE3" s="400">
        <f t="shared" si="2"/>
        <v>0.9</v>
      </c>
      <c r="BF3" s="400">
        <f t="shared" si="2"/>
        <v>0.9</v>
      </c>
      <c r="BG3" s="400">
        <f t="shared" si="2"/>
        <v>0.9</v>
      </c>
      <c r="BH3" s="400">
        <f t="shared" si="2"/>
        <v>0.9</v>
      </c>
      <c r="BI3" s="400">
        <f t="shared" si="2"/>
        <v>0.9</v>
      </c>
      <c r="BJ3" s="400">
        <f t="shared" si="2"/>
        <v>0.9</v>
      </c>
      <c r="BK3" s="400">
        <f t="shared" si="2"/>
        <v>0.9</v>
      </c>
      <c r="BL3" s="400">
        <f t="shared" si="2"/>
        <v>0.9</v>
      </c>
      <c r="BM3" s="400">
        <f t="shared" si="2"/>
        <v>0.9</v>
      </c>
      <c r="BN3" s="400">
        <f t="shared" si="2"/>
        <v>0.9</v>
      </c>
      <c r="BO3" s="400">
        <f t="shared" si="2"/>
        <v>0.9</v>
      </c>
      <c r="BP3" s="400">
        <f t="shared" si="2"/>
        <v>0.9</v>
      </c>
      <c r="BQ3" s="400">
        <f t="shared" ref="BQ3:CY3" si="3">IF(BQ$1&lt;=$B$7,$B$6,IF(AND(BQ$1&gt;$B$7,BQ$1&lt;=($B$7+$B$8)),BP3+$C$8,IF(BQ$1&lt;=$B$10,$B$9,IF(AND(BQ$1&gt;$B$10,BQ$1&lt;=($B$10+$B$11)),BP3+$C$11,$B$12))))</f>
        <v>0.9</v>
      </c>
      <c r="BR3" s="400">
        <f t="shared" si="3"/>
        <v>0.9</v>
      </c>
      <c r="BS3" s="400">
        <f t="shared" si="3"/>
        <v>0.9</v>
      </c>
      <c r="BT3" s="400">
        <f t="shared" si="3"/>
        <v>0.9</v>
      </c>
      <c r="BU3" s="400">
        <f t="shared" si="3"/>
        <v>0.9</v>
      </c>
      <c r="BV3" s="400">
        <f t="shared" si="3"/>
        <v>0.9</v>
      </c>
      <c r="BW3" s="400">
        <f t="shared" si="3"/>
        <v>0.9</v>
      </c>
      <c r="BX3" s="400">
        <f t="shared" si="3"/>
        <v>0.9</v>
      </c>
      <c r="BY3" s="400">
        <f t="shared" si="3"/>
        <v>0.9</v>
      </c>
      <c r="BZ3" s="400">
        <f t="shared" si="3"/>
        <v>0.9</v>
      </c>
      <c r="CA3" s="400">
        <f t="shared" si="3"/>
        <v>0.9</v>
      </c>
      <c r="CB3" s="400">
        <f t="shared" si="3"/>
        <v>0.9</v>
      </c>
      <c r="CC3" s="400">
        <f t="shared" si="3"/>
        <v>0.9</v>
      </c>
      <c r="CD3" s="400">
        <f t="shared" si="3"/>
        <v>0.9</v>
      </c>
      <c r="CE3" s="400">
        <f t="shared" si="3"/>
        <v>0.9</v>
      </c>
      <c r="CF3" s="400">
        <f t="shared" si="3"/>
        <v>0.9</v>
      </c>
      <c r="CG3" s="400">
        <f t="shared" si="3"/>
        <v>0.9</v>
      </c>
      <c r="CH3" s="400">
        <f t="shared" si="3"/>
        <v>0.9</v>
      </c>
      <c r="CI3" s="400">
        <f t="shared" si="3"/>
        <v>0.9</v>
      </c>
      <c r="CJ3" s="400">
        <f t="shared" si="3"/>
        <v>0.9</v>
      </c>
      <c r="CK3" s="400">
        <f t="shared" si="3"/>
        <v>0.9</v>
      </c>
      <c r="CL3" s="400">
        <f t="shared" si="3"/>
        <v>0.9</v>
      </c>
      <c r="CM3" s="400">
        <f t="shared" si="3"/>
        <v>0.9</v>
      </c>
      <c r="CN3" s="400">
        <f t="shared" si="3"/>
        <v>0.9</v>
      </c>
      <c r="CO3" s="400">
        <f t="shared" si="3"/>
        <v>0.9</v>
      </c>
      <c r="CP3" s="400">
        <f t="shared" si="3"/>
        <v>0.9</v>
      </c>
      <c r="CQ3" s="400">
        <f t="shared" si="3"/>
        <v>0.9</v>
      </c>
      <c r="CR3" s="400">
        <f t="shared" si="3"/>
        <v>0.9</v>
      </c>
      <c r="CS3" s="400">
        <f t="shared" si="3"/>
        <v>0.9</v>
      </c>
      <c r="CT3" s="400">
        <f t="shared" si="3"/>
        <v>0.9</v>
      </c>
      <c r="CU3" s="400">
        <f t="shared" si="3"/>
        <v>0.9</v>
      </c>
      <c r="CV3" s="400">
        <f t="shared" si="3"/>
        <v>0.9</v>
      </c>
      <c r="CW3" s="400">
        <f t="shared" si="3"/>
        <v>0.9</v>
      </c>
      <c r="CX3" s="400">
        <f t="shared" si="3"/>
        <v>0.9</v>
      </c>
      <c r="CY3" s="400">
        <f t="shared" si="3"/>
        <v>0.9</v>
      </c>
      <c r="CZ3" s="266"/>
      <c r="DA3" s="266"/>
      <c r="DB3" s="266"/>
      <c r="DC3" s="266"/>
      <c r="DD3" s="266"/>
      <c r="DE3" s="266"/>
      <c r="DF3" s="266"/>
      <c r="DG3" s="266"/>
      <c r="DH3" s="266"/>
      <c r="DI3" s="266"/>
      <c r="DJ3" s="266"/>
      <c r="DK3" s="266"/>
      <c r="DL3" s="266"/>
      <c r="DM3" s="266"/>
      <c r="DN3" s="266"/>
      <c r="DO3" s="266"/>
      <c r="DP3" s="266"/>
      <c r="DQ3" s="266"/>
      <c r="DR3" s="266"/>
      <c r="DS3" s="266"/>
    </row>
    <row r="4" spans="1:123" x14ac:dyDescent="0.2">
      <c r="A4" s="3" t="s">
        <v>10</v>
      </c>
      <c r="B4" s="401" t="e">
        <f>#REF!</f>
        <v>#REF!</v>
      </c>
      <c r="C4" s="1" t="str">
        <f ca="1">OFFSET(Sprachen!A590,0,'START, DÉBUT, INIZIO'!$D$4-1,1,1)</f>
        <v>Basepreis in CHF/MWh</v>
      </c>
      <c r="D4" s="402" t="e">
        <f t="shared" ref="D4:BO4" si="4">$B$4*D3</f>
        <v>#REF!</v>
      </c>
      <c r="E4" s="402" t="e">
        <f t="shared" si="4"/>
        <v>#REF!</v>
      </c>
      <c r="F4" s="402" t="e">
        <f t="shared" si="4"/>
        <v>#REF!</v>
      </c>
      <c r="G4" s="402" t="e">
        <f t="shared" si="4"/>
        <v>#REF!</v>
      </c>
      <c r="H4" s="402" t="e">
        <f t="shared" si="4"/>
        <v>#REF!</v>
      </c>
      <c r="I4" s="402" t="e">
        <f t="shared" si="4"/>
        <v>#REF!</v>
      </c>
      <c r="J4" s="402" t="e">
        <f t="shared" si="4"/>
        <v>#REF!</v>
      </c>
      <c r="K4" s="402" t="e">
        <f t="shared" si="4"/>
        <v>#REF!</v>
      </c>
      <c r="L4" s="402" t="e">
        <f t="shared" si="4"/>
        <v>#REF!</v>
      </c>
      <c r="M4" s="402" t="e">
        <f t="shared" si="4"/>
        <v>#REF!</v>
      </c>
      <c r="N4" s="402" t="e">
        <f t="shared" si="4"/>
        <v>#REF!</v>
      </c>
      <c r="O4" s="402" t="e">
        <f t="shared" si="4"/>
        <v>#REF!</v>
      </c>
      <c r="P4" s="402" t="e">
        <f t="shared" si="4"/>
        <v>#REF!</v>
      </c>
      <c r="Q4" s="402" t="e">
        <f t="shared" si="4"/>
        <v>#REF!</v>
      </c>
      <c r="R4" s="402" t="e">
        <f t="shared" si="4"/>
        <v>#REF!</v>
      </c>
      <c r="S4" s="402" t="e">
        <f t="shared" si="4"/>
        <v>#REF!</v>
      </c>
      <c r="T4" s="402" t="e">
        <f t="shared" si="4"/>
        <v>#REF!</v>
      </c>
      <c r="U4" s="402" t="e">
        <f t="shared" si="4"/>
        <v>#REF!</v>
      </c>
      <c r="V4" s="402" t="e">
        <f t="shared" si="4"/>
        <v>#REF!</v>
      </c>
      <c r="W4" s="402" t="e">
        <f t="shared" si="4"/>
        <v>#REF!</v>
      </c>
      <c r="X4" s="402" t="e">
        <f t="shared" si="4"/>
        <v>#REF!</v>
      </c>
      <c r="Y4" s="402" t="e">
        <f t="shared" si="4"/>
        <v>#REF!</v>
      </c>
      <c r="Z4" s="402" t="e">
        <f t="shared" si="4"/>
        <v>#REF!</v>
      </c>
      <c r="AA4" s="402" t="e">
        <f t="shared" si="4"/>
        <v>#REF!</v>
      </c>
      <c r="AB4" s="402" t="e">
        <f t="shared" si="4"/>
        <v>#REF!</v>
      </c>
      <c r="AC4" s="402" t="e">
        <f t="shared" si="4"/>
        <v>#REF!</v>
      </c>
      <c r="AD4" s="402" t="e">
        <f t="shared" si="4"/>
        <v>#REF!</v>
      </c>
      <c r="AE4" s="402" t="e">
        <f t="shared" si="4"/>
        <v>#REF!</v>
      </c>
      <c r="AF4" s="402" t="e">
        <f t="shared" si="4"/>
        <v>#REF!</v>
      </c>
      <c r="AG4" s="402" t="e">
        <f t="shared" si="4"/>
        <v>#REF!</v>
      </c>
      <c r="AH4" s="402" t="e">
        <f t="shared" si="4"/>
        <v>#REF!</v>
      </c>
      <c r="AI4" s="402" t="e">
        <f t="shared" si="4"/>
        <v>#REF!</v>
      </c>
      <c r="AJ4" s="402" t="e">
        <f t="shared" si="4"/>
        <v>#REF!</v>
      </c>
      <c r="AK4" s="402" t="e">
        <f t="shared" si="4"/>
        <v>#REF!</v>
      </c>
      <c r="AL4" s="402" t="e">
        <f t="shared" si="4"/>
        <v>#REF!</v>
      </c>
      <c r="AM4" s="402" t="e">
        <f t="shared" si="4"/>
        <v>#REF!</v>
      </c>
      <c r="AN4" s="402" t="e">
        <f t="shared" si="4"/>
        <v>#REF!</v>
      </c>
      <c r="AO4" s="402" t="e">
        <f t="shared" si="4"/>
        <v>#REF!</v>
      </c>
      <c r="AP4" s="402" t="e">
        <f t="shared" si="4"/>
        <v>#REF!</v>
      </c>
      <c r="AQ4" s="402" t="e">
        <f t="shared" si="4"/>
        <v>#REF!</v>
      </c>
      <c r="AR4" s="402" t="e">
        <f t="shared" si="4"/>
        <v>#REF!</v>
      </c>
      <c r="AS4" s="402" t="e">
        <f t="shared" si="4"/>
        <v>#REF!</v>
      </c>
      <c r="AT4" s="402" t="e">
        <f t="shared" si="4"/>
        <v>#REF!</v>
      </c>
      <c r="AU4" s="402" t="e">
        <f t="shared" si="4"/>
        <v>#REF!</v>
      </c>
      <c r="AV4" s="402" t="e">
        <f t="shared" si="4"/>
        <v>#REF!</v>
      </c>
      <c r="AW4" s="402" t="e">
        <f t="shared" si="4"/>
        <v>#REF!</v>
      </c>
      <c r="AX4" s="402" t="e">
        <f t="shared" si="4"/>
        <v>#REF!</v>
      </c>
      <c r="AY4" s="402" t="e">
        <f t="shared" si="4"/>
        <v>#REF!</v>
      </c>
      <c r="AZ4" s="402" t="e">
        <f t="shared" si="4"/>
        <v>#REF!</v>
      </c>
      <c r="BA4" s="402" t="e">
        <f t="shared" si="4"/>
        <v>#REF!</v>
      </c>
      <c r="BB4" s="402" t="e">
        <f t="shared" si="4"/>
        <v>#REF!</v>
      </c>
      <c r="BC4" s="402" t="e">
        <f t="shared" si="4"/>
        <v>#REF!</v>
      </c>
      <c r="BD4" s="402" t="e">
        <f t="shared" si="4"/>
        <v>#REF!</v>
      </c>
      <c r="BE4" s="402" t="e">
        <f t="shared" si="4"/>
        <v>#REF!</v>
      </c>
      <c r="BF4" s="402" t="e">
        <f t="shared" si="4"/>
        <v>#REF!</v>
      </c>
      <c r="BG4" s="402" t="e">
        <f t="shared" si="4"/>
        <v>#REF!</v>
      </c>
      <c r="BH4" s="402" t="e">
        <f t="shared" si="4"/>
        <v>#REF!</v>
      </c>
      <c r="BI4" s="402" t="e">
        <f t="shared" si="4"/>
        <v>#REF!</v>
      </c>
      <c r="BJ4" s="402" t="e">
        <f t="shared" si="4"/>
        <v>#REF!</v>
      </c>
      <c r="BK4" s="402" t="e">
        <f t="shared" si="4"/>
        <v>#REF!</v>
      </c>
      <c r="BL4" s="402" t="e">
        <f t="shared" si="4"/>
        <v>#REF!</v>
      </c>
      <c r="BM4" s="402" t="e">
        <f t="shared" si="4"/>
        <v>#REF!</v>
      </c>
      <c r="BN4" s="402" t="e">
        <f t="shared" si="4"/>
        <v>#REF!</v>
      </c>
      <c r="BO4" s="402" t="e">
        <f t="shared" si="4"/>
        <v>#REF!</v>
      </c>
      <c r="BP4" s="402" t="e">
        <f t="shared" ref="BP4:CY4" si="5">$B$4*BP3</f>
        <v>#REF!</v>
      </c>
      <c r="BQ4" s="402" t="e">
        <f t="shared" si="5"/>
        <v>#REF!</v>
      </c>
      <c r="BR4" s="402" t="e">
        <f t="shared" si="5"/>
        <v>#REF!</v>
      </c>
      <c r="BS4" s="402" t="e">
        <f t="shared" si="5"/>
        <v>#REF!</v>
      </c>
      <c r="BT4" s="402" t="e">
        <f t="shared" si="5"/>
        <v>#REF!</v>
      </c>
      <c r="BU4" s="402" t="e">
        <f t="shared" si="5"/>
        <v>#REF!</v>
      </c>
      <c r="BV4" s="402" t="e">
        <f t="shared" si="5"/>
        <v>#REF!</v>
      </c>
      <c r="BW4" s="402" t="e">
        <f t="shared" si="5"/>
        <v>#REF!</v>
      </c>
      <c r="BX4" s="402" t="e">
        <f t="shared" si="5"/>
        <v>#REF!</v>
      </c>
      <c r="BY4" s="402" t="e">
        <f t="shared" si="5"/>
        <v>#REF!</v>
      </c>
      <c r="BZ4" s="402" t="e">
        <f t="shared" si="5"/>
        <v>#REF!</v>
      </c>
      <c r="CA4" s="402" t="e">
        <f t="shared" si="5"/>
        <v>#REF!</v>
      </c>
      <c r="CB4" s="402" t="e">
        <f t="shared" si="5"/>
        <v>#REF!</v>
      </c>
      <c r="CC4" s="402" t="e">
        <f t="shared" si="5"/>
        <v>#REF!</v>
      </c>
      <c r="CD4" s="402" t="e">
        <f t="shared" si="5"/>
        <v>#REF!</v>
      </c>
      <c r="CE4" s="402" t="e">
        <f t="shared" si="5"/>
        <v>#REF!</v>
      </c>
      <c r="CF4" s="402" t="e">
        <f t="shared" si="5"/>
        <v>#REF!</v>
      </c>
      <c r="CG4" s="402" t="e">
        <f t="shared" si="5"/>
        <v>#REF!</v>
      </c>
      <c r="CH4" s="402" t="e">
        <f t="shared" si="5"/>
        <v>#REF!</v>
      </c>
      <c r="CI4" s="402" t="e">
        <f t="shared" si="5"/>
        <v>#REF!</v>
      </c>
      <c r="CJ4" s="402" t="e">
        <f t="shared" si="5"/>
        <v>#REF!</v>
      </c>
      <c r="CK4" s="402" t="e">
        <f t="shared" si="5"/>
        <v>#REF!</v>
      </c>
      <c r="CL4" s="402" t="e">
        <f t="shared" si="5"/>
        <v>#REF!</v>
      </c>
      <c r="CM4" s="402" t="e">
        <f t="shared" si="5"/>
        <v>#REF!</v>
      </c>
      <c r="CN4" s="402" t="e">
        <f t="shared" si="5"/>
        <v>#REF!</v>
      </c>
      <c r="CO4" s="402" t="e">
        <f t="shared" si="5"/>
        <v>#REF!</v>
      </c>
      <c r="CP4" s="402" t="e">
        <f t="shared" si="5"/>
        <v>#REF!</v>
      </c>
      <c r="CQ4" s="402" t="e">
        <f t="shared" si="5"/>
        <v>#REF!</v>
      </c>
      <c r="CR4" s="402" t="e">
        <f t="shared" si="5"/>
        <v>#REF!</v>
      </c>
      <c r="CS4" s="402" t="e">
        <f t="shared" si="5"/>
        <v>#REF!</v>
      </c>
      <c r="CT4" s="402" t="e">
        <f t="shared" si="5"/>
        <v>#REF!</v>
      </c>
      <c r="CU4" s="402" t="e">
        <f t="shared" si="5"/>
        <v>#REF!</v>
      </c>
      <c r="CV4" s="402" t="e">
        <f t="shared" si="5"/>
        <v>#REF!</v>
      </c>
      <c r="CW4" s="402" t="e">
        <f t="shared" si="5"/>
        <v>#REF!</v>
      </c>
      <c r="CX4" s="402" t="e">
        <f t="shared" si="5"/>
        <v>#REF!</v>
      </c>
      <c r="CY4" s="402" t="e">
        <f t="shared" si="5"/>
        <v>#REF!</v>
      </c>
    </row>
    <row r="6" spans="1:123" x14ac:dyDescent="0.2">
      <c r="A6" s="3" t="str">
        <f ca="1">OFFSET(Sprachen!A585,0,'START, DÉBUT, INIZIO'!$D$4-1,1,1)</f>
        <v>Startniveau</v>
      </c>
      <c r="B6" s="403">
        <v>1</v>
      </c>
      <c r="C6" s="1" t="e">
        <f>$B$4</f>
        <v>#REF!</v>
      </c>
    </row>
    <row r="7" spans="1:123" x14ac:dyDescent="0.2">
      <c r="A7" s="3" t="str">
        <f ca="1">OFFSET(Sprachen!A586,0,'START, DÉBUT, INIZIO'!$D$4-1,1,1)</f>
        <v>beibehalten bis und mit Jahr</v>
      </c>
      <c r="B7" s="404">
        <v>10</v>
      </c>
      <c r="C7" s="1">
        <f>HLOOKUP($B$7,$D$1:$CY$2,2,0)</f>
        <v>2035</v>
      </c>
    </row>
    <row r="8" spans="1:123" x14ac:dyDescent="0.2">
      <c r="A8" s="3" t="str">
        <f ca="1">OFFSET(Sprachen!A587,0,'START, DÉBUT, INIZIO'!$D$4-1,1,1)</f>
        <v>während x Jahren steigen/fallen</v>
      </c>
      <c r="B8" s="404">
        <v>10</v>
      </c>
      <c r="C8" s="1">
        <f>(B9-B6)/B8</f>
        <v>-5.0000000000000044E-3</v>
      </c>
    </row>
    <row r="9" spans="1:123" x14ac:dyDescent="0.2">
      <c r="A9" s="3" t="str">
        <f ca="1">OFFSET(Sprachen!A588,0,'START, DÉBUT, INIZIO'!$D$4-1,1,1)</f>
        <v>auf Niveau X</v>
      </c>
      <c r="B9" s="405">
        <v>0.95</v>
      </c>
      <c r="C9" s="1" t="e">
        <f>$B$4*B9</f>
        <v>#REF!</v>
      </c>
    </row>
    <row r="10" spans="1:123" x14ac:dyDescent="0.2">
      <c r="A10" s="3" t="str">
        <f ca="1">A7</f>
        <v>beibehalten bis und mit Jahr</v>
      </c>
      <c r="B10" s="404">
        <v>30</v>
      </c>
      <c r="C10" s="1">
        <f>HLOOKUP($B$10,$D$1:$CY$2,2,0)</f>
        <v>2055</v>
      </c>
    </row>
    <row r="11" spans="1:123" x14ac:dyDescent="0.2">
      <c r="A11" s="3" t="str">
        <f ca="1">A8</f>
        <v>während x Jahren steigen/fallen</v>
      </c>
      <c r="B11" s="404">
        <v>20</v>
      </c>
      <c r="C11" s="1">
        <f>(B12-B9)/B11</f>
        <v>-2.4999999999999966E-3</v>
      </c>
    </row>
    <row r="12" spans="1:123" x14ac:dyDescent="0.2">
      <c r="A12" s="3" t="str">
        <f ca="1">OFFSET(Sprachen!A589,0,'START, DÉBUT, INIZIO'!$D$4-1,1,1)</f>
        <v>auf Niveau Y</v>
      </c>
      <c r="B12" s="405">
        <v>0.9</v>
      </c>
      <c r="C12" s="1" t="e">
        <f>$B$4*B12</f>
        <v>#REF!</v>
      </c>
    </row>
    <row r="13" spans="1:123" x14ac:dyDescent="0.2">
      <c r="C13" s="406"/>
    </row>
    <row r="14" spans="1:123" x14ac:dyDescent="0.2">
      <c r="C14" s="406"/>
    </row>
  </sheetData>
  <pageMargins left="0.7" right="0.7" top="0.78740157499999996" bottom="0.78740157499999996"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D84BF-C050-41D4-A275-085CF0A04305}">
  <sheetPr>
    <tabColor rgb="FFFFFFCC"/>
  </sheetPr>
  <dimension ref="A1:Y72"/>
  <sheetViews>
    <sheetView zoomScaleNormal="100" workbookViewId="0">
      <selection activeCell="B13" sqref="B13"/>
    </sheetView>
  </sheetViews>
  <sheetFormatPr baseColWidth="10" defaultRowHeight="12.75" x14ac:dyDescent="0.2"/>
  <cols>
    <col min="1" max="1" width="5.42578125" customWidth="1"/>
    <col min="2" max="2" width="51.5703125" style="1" customWidth="1"/>
    <col min="3" max="3" width="12.7109375" style="3" customWidth="1"/>
    <col min="4" max="4" width="14.140625" customWidth="1"/>
    <col min="5" max="5" width="11.5703125" bestFit="1" customWidth="1"/>
    <col min="6" max="6" width="13.140625" bestFit="1" customWidth="1"/>
    <col min="7" max="7" width="17.5703125" customWidth="1"/>
    <col min="8" max="8" width="16.5703125" customWidth="1"/>
    <col min="9" max="9" width="14" bestFit="1" customWidth="1"/>
    <col min="10" max="10" width="12.42578125" customWidth="1"/>
    <col min="18" max="18" width="9.5703125" customWidth="1"/>
    <col min="25" max="25" width="17.85546875" bestFit="1" customWidth="1"/>
  </cols>
  <sheetData>
    <row r="1" spans="1:22" ht="26.1" customHeight="1" x14ac:dyDescent="0.2">
      <c r="A1" s="12" t="str">
        <f ca="1">OFFSET(Sprachen!A668,0,'START, DÉBUT, INIZIO'!$D$4-1,1,1)</f>
        <v>Allgemein</v>
      </c>
      <c r="B1"/>
      <c r="C1" s="268"/>
      <c r="D1" s="268"/>
      <c r="E1" s="268"/>
      <c r="F1" s="269"/>
      <c r="G1" s="269"/>
      <c r="H1" s="269"/>
    </row>
    <row r="2" spans="1:22" x14ac:dyDescent="0.2">
      <c r="B2" s="1" t="str">
        <f ca="1">OFFSET(Sprachen!A669,0,'START, DÉBUT, INIZIO'!$D$4-1,1,1)</f>
        <v>Bewertungsjahr</v>
      </c>
      <c r="C2" s="281">
        <v>2026</v>
      </c>
      <c r="D2" s="4"/>
    </row>
    <row r="3" spans="1:22" x14ac:dyDescent="0.2">
      <c r="B3" s="1" t="str">
        <f ca="1">OFFSET(Sprachen!A670,0,'START, DÉBUT, INIZIO'!$D$4-1,1,1)</f>
        <v>Anzahl Förderjahre</v>
      </c>
      <c r="C3" s="281">
        <v>20</v>
      </c>
      <c r="J3" s="3" t="s">
        <v>1160</v>
      </c>
      <c r="K3" s="3" t="s">
        <v>1161</v>
      </c>
    </row>
    <row r="4" spans="1:22" x14ac:dyDescent="0.2">
      <c r="B4" s="1" t="str">
        <f ca="1">OFFSET(Sprachen!A671,0,'START, DÉBUT, INIZIO'!$D$4-1,1,1)</f>
        <v>Reduktion Rückzahlung für Jan., Feb., Mär. und Dez.</v>
      </c>
      <c r="C4" s="282">
        <v>0.1</v>
      </c>
      <c r="J4" s="788" t="s">
        <v>22</v>
      </c>
      <c r="K4" s="281">
        <v>300</v>
      </c>
    </row>
    <row r="5" spans="1:22" x14ac:dyDescent="0.2">
      <c r="B5" s="1" t="str">
        <f ca="1">OFFSET(Sprachen!A672,0,'START, DÉBUT, INIZIO'!$D$4-1,1,1)</f>
        <v>HKN-Preis</v>
      </c>
      <c r="C5" s="282">
        <v>0.05</v>
      </c>
      <c r="D5" s="1" t="s">
        <v>124</v>
      </c>
      <c r="J5" s="788" t="s">
        <v>23</v>
      </c>
      <c r="K5" s="281">
        <v>300</v>
      </c>
    </row>
    <row r="6" spans="1:22" x14ac:dyDescent="0.2">
      <c r="B6" s="1" t="str">
        <f ca="1">OFFSET(Sprachen!A673,0,'START, DÉBUT, INIZIO'!$D$4-1,1,1)</f>
        <v>Anteil der Termin-Absicherung der erwarteten Produktion</v>
      </c>
      <c r="C6" s="282">
        <v>0.8</v>
      </c>
      <c r="D6" s="1"/>
      <c r="J6" s="788" t="s">
        <v>24</v>
      </c>
      <c r="K6" s="281">
        <v>100</v>
      </c>
    </row>
    <row r="7" spans="1:22" x14ac:dyDescent="0.2">
      <c r="B7" s="1" t="str">
        <f ca="1">OFFSET(Sprachen!A674,0,'START, DÉBUT, INIZIO'!$D$4-1,1,1)</f>
        <v>Schweizweit gemittelter Gewinnsteuersatz</v>
      </c>
      <c r="C7" s="282">
        <v>0.14599999999999999</v>
      </c>
    </row>
    <row r="8" spans="1:22" x14ac:dyDescent="0.2">
      <c r="B8" s="1" t="str">
        <f ca="1">OFFSET(Sprachen!A675,0,'START, DÉBUT, INIZIO'!$D$4-1,1,1)</f>
        <v>Eigenkapitalanteil</v>
      </c>
      <c r="C8" s="282">
        <v>0.5</v>
      </c>
    </row>
    <row r="9" spans="1:22" x14ac:dyDescent="0.2">
      <c r="B9" s="1" t="str">
        <f ca="1">OFFSET(Sprachen!A676,0,'START, DÉBUT, INIZIO'!$D$4-1,1,1)</f>
        <v>Fremtkapitalanteil</v>
      </c>
      <c r="C9" s="346">
        <v>0.5</v>
      </c>
    </row>
    <row r="10" spans="1:22" x14ac:dyDescent="0.2">
      <c r="B10" s="1" t="str">
        <f ca="1">OFFSET(Sprachen!A677,0,'START, DÉBUT, INIZIO'!$D$4-1,1,1)</f>
        <v>Eigenkapitalkosten</v>
      </c>
      <c r="C10" s="346">
        <v>6.8000000000000005E-2</v>
      </c>
      <c r="D10" s="348">
        <f>C10/(C10+C11)</f>
        <v>0.79532163742690054</v>
      </c>
    </row>
    <row r="11" spans="1:22" x14ac:dyDescent="0.2">
      <c r="B11" s="1" t="str">
        <f ca="1">OFFSET(Sprachen!A678,0,'START, DÉBUT, INIZIO'!$D$4-1,1,1)</f>
        <v>Fremdkapitalkosten</v>
      </c>
      <c r="C11" s="346">
        <v>1.7500000000000002E-2</v>
      </c>
      <c r="D11" s="348">
        <f>C11/(C10+C11)</f>
        <v>0.20467836257309943</v>
      </c>
    </row>
    <row r="12" spans="1:22" x14ac:dyDescent="0.2">
      <c r="B12" s="1" t="str">
        <f ca="1">OFFSET(Sprachen!A679,0,'START, DÉBUT, INIZIO'!$D$4-1,1,1)</f>
        <v>WACC BFE</v>
      </c>
      <c r="C12" s="347">
        <f>C8*C10+C9*C11</f>
        <v>4.2750000000000003E-2</v>
      </c>
    </row>
    <row r="13" spans="1:22" x14ac:dyDescent="0.2">
      <c r="C13"/>
    </row>
    <row r="14" spans="1:22" ht="13.5" thickBot="1" x14ac:dyDescent="0.25">
      <c r="A14" s="271"/>
      <c r="B14" s="278"/>
      <c r="C14" s="275"/>
      <c r="D14" s="271"/>
      <c r="E14" s="271"/>
      <c r="F14" s="271"/>
      <c r="G14" s="271"/>
      <c r="H14" s="271"/>
      <c r="I14" s="271"/>
      <c r="J14" s="271"/>
      <c r="K14" s="271"/>
      <c r="L14" s="271"/>
      <c r="M14" s="271"/>
      <c r="N14" s="271"/>
      <c r="O14" s="271"/>
      <c r="P14" s="271"/>
      <c r="Q14" s="271"/>
      <c r="R14" s="271"/>
      <c r="S14" s="271"/>
      <c r="T14" s="271"/>
      <c r="U14" s="271"/>
      <c r="V14" s="271"/>
    </row>
    <row r="15" spans="1:22" ht="26.1" customHeight="1" thickBot="1" x14ac:dyDescent="0.25">
      <c r="A15" s="12" t="str">
        <f ca="1">OFFSET(Sprachen!A681,0,'START, DÉBUT, INIZIO'!$D$4-1,1,1)</f>
        <v>SDL</v>
      </c>
      <c r="B15"/>
      <c r="C15" s="268"/>
      <c r="D15" s="268"/>
      <c r="E15" s="268"/>
      <c r="F15" s="269"/>
      <c r="G15" s="269"/>
      <c r="H15" s="269"/>
    </row>
    <row r="16" spans="1:22" ht="25.5" x14ac:dyDescent="0.2">
      <c r="B16" s="238" t="str">
        <f ca="1">OFFSET(Sprachen!A682,0,'START, DÉBUT, INIZIO'!$D$4-1,1,1)</f>
        <v>Kalenderjahr</v>
      </c>
      <c r="C16"/>
      <c r="D16" s="289" t="str">
        <f ca="1">OFFSET(Sprachen!A687,0,'START, DÉBUT, INIZIO'!$D$4-1,1,1)</f>
        <v>Leistung pro Kategorie</v>
      </c>
      <c r="E16" s="527" t="str">
        <f ca="1">OFFSET(Sprachen!$A688,0,'START, DÉBUT, INIZIO'!$D$4-1,1,1)</f>
        <v>PRL</v>
      </c>
      <c r="F16" s="527" t="str">
        <f ca="1">OFFSET(Sprachen!$A689,0,'START, DÉBUT, INIZIO'!$D$4-1,1,1)</f>
        <v>SRL+</v>
      </c>
      <c r="G16" s="527" t="str">
        <f ca="1">OFFSET(Sprachen!$A690,0,'START, DÉBUT, INIZIO'!$D$4-1,1,1)</f>
        <v>SRL-</v>
      </c>
      <c r="H16" s="527" t="str">
        <f ca="1">OFFSET(Sprachen!$A691,0,'START, DÉBUT, INIZIO'!$D$4-1,1,1)</f>
        <v>TRL+</v>
      </c>
      <c r="I16" s="527" t="str">
        <f ca="1">OFFSET(Sprachen!$A692,0,'START, DÉBUT, INIZIO'!$D$4-1,1,1)</f>
        <v>TRL-</v>
      </c>
      <c r="J16" s="13" t="str">
        <f ca="1">E16</f>
        <v>PRL</v>
      </c>
      <c r="K16" s="13" t="str">
        <f t="shared" ref="K16:N16" ca="1" si="0">F16</f>
        <v>SRL+</v>
      </c>
      <c r="L16" s="13" t="str">
        <f t="shared" ca="1" si="0"/>
        <v>SRL-</v>
      </c>
      <c r="M16" s="13" t="str">
        <f t="shared" ca="1" si="0"/>
        <v>TRL+</v>
      </c>
      <c r="N16" s="13" t="str">
        <f t="shared" ca="1" si="0"/>
        <v>TRL-</v>
      </c>
      <c r="O16" s="239" t="str">
        <f ca="1">OFFSET(Sprachen!$A693,0,'START, DÉBUT, INIZIO'!$D$4-1,1,1)</f>
        <v>Primär</v>
      </c>
      <c r="P16" s="240" t="str">
        <f ca="1">OFFSET(Sprachen!$A694,0,'START, DÉBUT, INIZIO'!$D$4-1,1,1)</f>
        <v>Sekundär</v>
      </c>
      <c r="Q16" s="241" t="str">
        <f ca="1">OFFSET(Sprachen!$A695,0,'START, DÉBUT, INIZIO'!$D$4-1,1,1)</f>
        <v>Tertiär</v>
      </c>
    </row>
    <row r="17" spans="1:25" x14ac:dyDescent="0.2">
      <c r="B17" s="1" t="str">
        <f ca="1">OFFSET(Sprachen!A683,0,'START, DÉBUT, INIZIO'!$D$4-1,1,1)</f>
        <v>Gesamte Kosten Vorhaltung und Abruf</v>
      </c>
      <c r="C17"/>
      <c r="E17" s="288">
        <v>4257423.0389415259</v>
      </c>
      <c r="F17" s="288">
        <v>22924730.645248137</v>
      </c>
      <c r="G17" s="288">
        <v>41338350.787341267</v>
      </c>
      <c r="H17" s="288">
        <v>19293508.750753641</v>
      </c>
      <c r="I17" s="288">
        <v>51050601.505213886</v>
      </c>
      <c r="O17" s="242"/>
      <c r="Q17" s="243"/>
    </row>
    <row r="18" spans="1:25" x14ac:dyDescent="0.2">
      <c r="B18" s="1" t="str">
        <f ca="1">OFFSET(Sprachen!A686,0,'START, DÉBUT, INIZIO'!$D$4-1,1,1)</f>
        <v>Anteil CH-Wasserkraft</v>
      </c>
      <c r="C18" s="292">
        <v>0.85</v>
      </c>
      <c r="D18" s="244"/>
      <c r="E18" s="245">
        <f>$C18*E17</f>
        <v>3618809.583100297</v>
      </c>
      <c r="F18" s="245">
        <f>$C18*F17</f>
        <v>19486021.048460916</v>
      </c>
      <c r="G18" s="245">
        <f>$C18*G17</f>
        <v>35137598.169240072</v>
      </c>
      <c r="H18" s="245">
        <f>$C18*H17</f>
        <v>16399482.438140595</v>
      </c>
      <c r="I18" s="245">
        <f>$C18*I17</f>
        <v>43393011.279431805</v>
      </c>
      <c r="O18" s="242"/>
      <c r="Q18" s="243"/>
    </row>
    <row r="19" spans="1:25" ht="15.75" x14ac:dyDescent="0.3">
      <c r="C19" s="244"/>
      <c r="D19" s="244"/>
      <c r="E19" s="913" t="str">
        <f ca="1">OFFSET(Sprachen!A696,0,'START, DÉBUT, INIZIO'!$D$4-1,1,1)</f>
        <v>Verteilschlüssel</v>
      </c>
      <c r="F19" s="914"/>
      <c r="G19" s="914"/>
      <c r="H19" s="914"/>
      <c r="I19" s="915"/>
      <c r="J19" s="913" t="str">
        <f ca="1">OFFSET(Sprachen!A697,0,'START, DÉBUT, INIZIO'!$D$4-1,1,1)</f>
        <v>Erlös pro MW installiert</v>
      </c>
      <c r="K19" s="914"/>
      <c r="L19" s="914"/>
      <c r="M19" s="914"/>
      <c r="N19" s="917"/>
      <c r="O19" s="916" t="s">
        <v>72</v>
      </c>
      <c r="P19" s="914"/>
      <c r="Q19" s="917"/>
    </row>
    <row r="20" spans="1:25" x14ac:dyDescent="0.2">
      <c r="B20" s="247" t="str">
        <f ca="1">B17</f>
        <v>Gesamte Kosten Vorhaltung und Abruf</v>
      </c>
      <c r="C20" s="246" t="str">
        <f ca="1">OFFSET(Sprachen!A701,0,'START, DÉBUT, INIZIO'!$D$4-1,1,1)</f>
        <v>NST</v>
      </c>
      <c r="D20" s="290">
        <v>3753</v>
      </c>
      <c r="E20" s="295">
        <v>0</v>
      </c>
      <c r="F20" s="295">
        <v>0</v>
      </c>
      <c r="G20" s="296">
        <v>0.2</v>
      </c>
      <c r="H20" s="295">
        <v>0</v>
      </c>
      <c r="I20" s="296">
        <v>0.2</v>
      </c>
      <c r="J20" s="297">
        <f>E$18*E20/$D20</f>
        <v>0</v>
      </c>
      <c r="K20" s="245">
        <f t="shared" ref="J20:N22" si="1">F$18*F20/$D20</f>
        <v>0</v>
      </c>
      <c r="L20" s="245">
        <f t="shared" si="1"/>
        <v>1872.507229908877</v>
      </c>
      <c r="M20" s="245">
        <f t="shared" si="1"/>
        <v>0</v>
      </c>
      <c r="N20" s="298">
        <f t="shared" si="1"/>
        <v>2312.443979719254</v>
      </c>
      <c r="O20" s="299">
        <f>J20</f>
        <v>0</v>
      </c>
      <c r="P20" s="245">
        <f>K20+L20</f>
        <v>1872.507229908877</v>
      </c>
      <c r="Q20" s="300">
        <f>M20+N20</f>
        <v>2312.443979719254</v>
      </c>
      <c r="R20" s="6">
        <f>SUM(O20:Q20)</f>
        <v>4184.9512096281305</v>
      </c>
      <c r="S20" t="str">
        <f ca="1">OFFSET(Sprachen!A698,0,'START, DÉBUT, INIZIO'!$D$4-1,1,1)</f>
        <v>nicht steuerbar und &lt;3 MW (NST)</v>
      </c>
    </row>
    <row r="21" spans="1:25" x14ac:dyDescent="0.2">
      <c r="B21" s="247" t="str">
        <f ca="1">B20</f>
        <v>Gesamte Kosten Vorhaltung und Abruf</v>
      </c>
      <c r="C21" s="246" t="str">
        <f ca="1">OFFSET(Sprachen!A702,0,'START, DÉBUT, INIZIO'!$D$4-1,1,1)</f>
        <v>ST</v>
      </c>
      <c r="D21" s="290">
        <v>10269</v>
      </c>
      <c r="E21" s="295">
        <v>0</v>
      </c>
      <c r="F21" s="296">
        <v>0.56000000000000005</v>
      </c>
      <c r="G21" s="295">
        <v>0</v>
      </c>
      <c r="H21" s="296">
        <v>0.56000000000000005</v>
      </c>
      <c r="I21" s="295">
        <v>0</v>
      </c>
      <c r="J21" s="297">
        <f t="shared" si="1"/>
        <v>0</v>
      </c>
      <c r="K21" s="245">
        <f t="shared" si="1"/>
        <v>1062.6323680142286</v>
      </c>
      <c r="L21" s="245">
        <f t="shared" si="1"/>
        <v>0</v>
      </c>
      <c r="M21" s="245">
        <f t="shared" si="1"/>
        <v>894.31397072341349</v>
      </c>
      <c r="N21" s="298">
        <f t="shared" si="1"/>
        <v>0</v>
      </c>
      <c r="O21" s="299">
        <f>J21</f>
        <v>0</v>
      </c>
      <c r="P21" s="245">
        <f>K21+L21</f>
        <v>1062.6323680142286</v>
      </c>
      <c r="Q21" s="300">
        <f>M21+N21</f>
        <v>894.31397072341349</v>
      </c>
      <c r="R21" s="6">
        <f t="shared" ref="R21" si="2">SUM(O21:Q21)</f>
        <v>1956.9463387376422</v>
      </c>
      <c r="S21" t="str">
        <f ca="1">OFFSET(Sprachen!A699,0,'START, DÉBUT, INIZIO'!$D$4-1,1,1)</f>
        <v>steuerbar &gt;=3 MW (ST)</v>
      </c>
    </row>
    <row r="22" spans="1:25" ht="13.5" thickBot="1" x14ac:dyDescent="0.25">
      <c r="B22" s="247" t="str">
        <f ca="1">B21</f>
        <v>Gesamte Kosten Vorhaltung und Abruf</v>
      </c>
      <c r="C22" s="248" t="str">
        <f ca="1">OFFSET(Sprachen!A703,0,'START, DÉBUT, INIZIO'!$D$4-1,1,1)</f>
        <v>PU</v>
      </c>
      <c r="D22" s="291">
        <v>4275</v>
      </c>
      <c r="E22" s="296">
        <v>1</v>
      </c>
      <c r="F22" s="296">
        <v>0.44</v>
      </c>
      <c r="G22" s="296">
        <v>0.8</v>
      </c>
      <c r="H22" s="296">
        <v>0.44</v>
      </c>
      <c r="I22" s="296">
        <v>0.8</v>
      </c>
      <c r="J22" s="297">
        <f t="shared" si="1"/>
        <v>846.50516563749636</v>
      </c>
      <c r="K22" s="245">
        <f t="shared" si="1"/>
        <v>2005.5787745784337</v>
      </c>
      <c r="L22" s="245">
        <f t="shared" si="1"/>
        <v>6575.4569673431724</v>
      </c>
      <c r="M22" s="245">
        <f t="shared" si="1"/>
        <v>1687.8999468495583</v>
      </c>
      <c r="N22" s="298">
        <f t="shared" si="1"/>
        <v>8120.3295961509812</v>
      </c>
      <c r="O22" s="301">
        <f>J22</f>
        <v>846.50516563749636</v>
      </c>
      <c r="P22" s="302">
        <f>K22+L22</f>
        <v>8581.0357419216052</v>
      </c>
      <c r="Q22" s="303">
        <f>M22+N22</f>
        <v>9808.2295430005397</v>
      </c>
      <c r="R22" s="6">
        <f>SUM(O22:Q22)</f>
        <v>19235.770450559641</v>
      </c>
      <c r="S22" t="str">
        <f ca="1">OFFSET(Sprachen!A700,0,'START, DÉBUT, INIZIO'!$D$4-1,1,1)</f>
        <v>Pumpspeicher- und Umwälzkraftwerk (PU)</v>
      </c>
    </row>
    <row r="23" spans="1:25" x14ac:dyDescent="0.2">
      <c r="C23" s="249"/>
      <c r="D23" s="249"/>
    </row>
    <row r="24" spans="1:25" ht="13.5" thickBot="1" x14ac:dyDescent="0.25">
      <c r="C24" s="249"/>
      <c r="D24" s="249"/>
    </row>
    <row r="25" spans="1:25" ht="25.5" x14ac:dyDescent="0.2">
      <c r="B25" s="238" t="str">
        <f ca="1">OFFSET(Sprachen!A684,0,'START, DÉBUT, INIZIO'!$D$4-1,1,1)</f>
        <v>Hydrologisches Jahr</v>
      </c>
      <c r="C25"/>
      <c r="D25" s="289" t="str">
        <f ca="1">D16</f>
        <v>Leistung pro Kategorie</v>
      </c>
      <c r="E25" s="527" t="str">
        <f t="shared" ref="E25:Q25" ca="1" si="3">E16</f>
        <v>PRL</v>
      </c>
      <c r="F25" s="527" t="str">
        <f t="shared" ca="1" si="3"/>
        <v>SRL+</v>
      </c>
      <c r="G25" s="527" t="str">
        <f t="shared" ca="1" si="3"/>
        <v>SRL-</v>
      </c>
      <c r="H25" s="527" t="str">
        <f t="shared" ca="1" si="3"/>
        <v>TRL+</v>
      </c>
      <c r="I25" s="527" t="str">
        <f t="shared" ca="1" si="3"/>
        <v>TRL-</v>
      </c>
      <c r="J25" s="13" t="str">
        <f t="shared" ca="1" si="3"/>
        <v>PRL</v>
      </c>
      <c r="K25" s="13" t="str">
        <f t="shared" ca="1" si="3"/>
        <v>SRL+</v>
      </c>
      <c r="L25" s="13" t="str">
        <f t="shared" ca="1" si="3"/>
        <v>SRL-</v>
      </c>
      <c r="M25" s="13" t="str">
        <f t="shared" ca="1" si="3"/>
        <v>TRL+</v>
      </c>
      <c r="N25" s="13" t="str">
        <f t="shared" ca="1" si="3"/>
        <v>TRL-</v>
      </c>
      <c r="O25" s="239" t="str">
        <f t="shared" ca="1" si="3"/>
        <v>Primär</v>
      </c>
      <c r="P25" s="240" t="str">
        <f t="shared" ca="1" si="3"/>
        <v>Sekundär</v>
      </c>
      <c r="Q25" s="241" t="str">
        <f t="shared" ca="1" si="3"/>
        <v>Tertiär</v>
      </c>
    </row>
    <row r="26" spans="1:25" x14ac:dyDescent="0.2">
      <c r="B26" s="1" t="str">
        <f ca="1">B17</f>
        <v>Gesamte Kosten Vorhaltung und Abruf</v>
      </c>
      <c r="C26"/>
      <c r="E26" s="288">
        <v>4620726.5531329643</v>
      </c>
      <c r="F26" s="288">
        <v>29268145.871758904</v>
      </c>
      <c r="G26" s="288">
        <v>48745995.343554758</v>
      </c>
      <c r="H26" s="288">
        <v>21079492.387526959</v>
      </c>
      <c r="I26" s="288">
        <v>57560442.689133838</v>
      </c>
      <c r="O26" s="242"/>
      <c r="Q26" s="243"/>
    </row>
    <row r="27" spans="1:25" x14ac:dyDescent="0.2">
      <c r="B27" s="1" t="str">
        <f ca="1">B18</f>
        <v>Anteil CH-Wasserkraft</v>
      </c>
      <c r="C27" s="244">
        <f>C18</f>
        <v>0.85</v>
      </c>
      <c r="D27" s="244"/>
      <c r="E27" s="245">
        <f>$C27*E26</f>
        <v>3927617.5701630195</v>
      </c>
      <c r="F27" s="245">
        <f>$C27*F26</f>
        <v>24877923.990995068</v>
      </c>
      <c r="G27" s="245">
        <f>$C27*G26</f>
        <v>41434096.042021543</v>
      </c>
      <c r="H27" s="245">
        <f>$C27*H26</f>
        <v>17917568.529397916</v>
      </c>
      <c r="I27" s="245">
        <f>$C27*I26</f>
        <v>48926376.285763763</v>
      </c>
      <c r="O27" s="242"/>
      <c r="Q27" s="243"/>
    </row>
    <row r="28" spans="1:25" ht="15.75" x14ac:dyDescent="0.3">
      <c r="C28" s="244"/>
      <c r="D28" s="244"/>
      <c r="E28" s="913" t="str">
        <f ca="1">E19</f>
        <v>Verteilschlüssel</v>
      </c>
      <c r="F28" s="914"/>
      <c r="G28" s="914"/>
      <c r="H28" s="914"/>
      <c r="I28" s="915"/>
      <c r="J28" s="913" t="str">
        <f ca="1">J19</f>
        <v>Erlös pro MW installiert</v>
      </c>
      <c r="K28" s="914"/>
      <c r="L28" s="914"/>
      <c r="M28" s="914"/>
      <c r="N28" s="917"/>
      <c r="O28" s="916" t="s">
        <v>72</v>
      </c>
      <c r="P28" s="914"/>
      <c r="Q28" s="917"/>
      <c r="W28" s="15" t="s">
        <v>155</v>
      </c>
      <c r="X28" t="str">
        <f ca="1">B16</f>
        <v>Kalenderjahr</v>
      </c>
      <c r="Y28" t="str">
        <f ca="1">B25</f>
        <v>Hydrologisches Jahr</v>
      </c>
    </row>
    <row r="29" spans="1:25" x14ac:dyDescent="0.2">
      <c r="B29" s="247" t="str">
        <f ca="1">B20</f>
        <v>Gesamte Kosten Vorhaltung und Abruf</v>
      </c>
      <c r="C29" s="246" t="str">
        <f ca="1">C20</f>
        <v>NST</v>
      </c>
      <c r="D29" s="250">
        <f>D20</f>
        <v>3753</v>
      </c>
      <c r="E29" s="293">
        <f>E20</f>
        <v>0</v>
      </c>
      <c r="F29" s="304">
        <f t="shared" ref="F29:I29" si="4">F20</f>
        <v>0</v>
      </c>
      <c r="G29" s="305">
        <f t="shared" si="4"/>
        <v>0.2</v>
      </c>
      <c r="H29" s="304">
        <f t="shared" si="4"/>
        <v>0</v>
      </c>
      <c r="I29" s="305">
        <f t="shared" si="4"/>
        <v>0.2</v>
      </c>
      <c r="J29" s="297">
        <f t="shared" ref="J29:N31" si="5">E$27*E29/$D29</f>
        <v>0</v>
      </c>
      <c r="K29" s="245">
        <f t="shared" si="5"/>
        <v>0</v>
      </c>
      <c r="L29" s="245">
        <f t="shared" si="5"/>
        <v>2208.0520139633118</v>
      </c>
      <c r="M29" s="245">
        <f t="shared" si="5"/>
        <v>0</v>
      </c>
      <c r="N29" s="298">
        <f t="shared" si="5"/>
        <v>2607.3208785379038</v>
      </c>
      <c r="O29" s="299">
        <f>J29</f>
        <v>0</v>
      </c>
      <c r="P29" s="245">
        <f>K29+L29</f>
        <v>2208.0520139633118</v>
      </c>
      <c r="Q29" s="300">
        <f>M29+N29</f>
        <v>2607.3208785379038</v>
      </c>
      <c r="R29" s="6">
        <f>SUM(O29:Q29)</f>
        <v>4815.3728925012156</v>
      </c>
      <c r="S29" t="str">
        <f ca="1">S20</f>
        <v>nicht steuerbar und &lt;3 MW (NST)</v>
      </c>
      <c r="W29" s="14" t="str">
        <f ca="1">C20</f>
        <v>NST</v>
      </c>
      <c r="X29" s="328">
        <f>R20</f>
        <v>4184.9512096281305</v>
      </c>
      <c r="Y29" s="328">
        <f>Q29</f>
        <v>2607.3208785379038</v>
      </c>
    </row>
    <row r="30" spans="1:25" x14ac:dyDescent="0.2">
      <c r="B30" s="247" t="str">
        <f t="shared" ref="B30:C31" ca="1" si="6">B21</f>
        <v>Gesamte Kosten Vorhaltung und Abruf</v>
      </c>
      <c r="C30" s="246" t="str">
        <f t="shared" ca="1" si="6"/>
        <v>ST</v>
      </c>
      <c r="D30" s="250">
        <f t="shared" ref="D30:E31" si="7">D21</f>
        <v>10269</v>
      </c>
      <c r="E30" s="293">
        <f t="shared" si="7"/>
        <v>0</v>
      </c>
      <c r="F30" s="305">
        <f t="shared" ref="F30:I30" si="8">F21</f>
        <v>0.56000000000000005</v>
      </c>
      <c r="G30" s="304">
        <f t="shared" si="8"/>
        <v>0</v>
      </c>
      <c r="H30" s="305">
        <f t="shared" si="8"/>
        <v>0.56000000000000005</v>
      </c>
      <c r="I30" s="304">
        <f t="shared" si="8"/>
        <v>0</v>
      </c>
      <c r="J30" s="297">
        <f t="shared" si="5"/>
        <v>0</v>
      </c>
      <c r="K30" s="245">
        <f t="shared" si="5"/>
        <v>1356.669338295573</v>
      </c>
      <c r="L30" s="245">
        <f t="shared" si="5"/>
        <v>0</v>
      </c>
      <c r="M30" s="245">
        <f t="shared" si="5"/>
        <v>977.09985163724161</v>
      </c>
      <c r="N30" s="298">
        <f t="shared" si="5"/>
        <v>0</v>
      </c>
      <c r="O30" s="299">
        <f>J30</f>
        <v>0</v>
      </c>
      <c r="P30" s="245">
        <f>K30+L30</f>
        <v>1356.669338295573</v>
      </c>
      <c r="Q30" s="300">
        <f>M30+N30</f>
        <v>977.09985163724161</v>
      </c>
      <c r="R30" s="6">
        <f t="shared" ref="R30:R31" si="9">SUM(O30:Q30)</f>
        <v>2333.7691899328147</v>
      </c>
      <c r="S30" t="str">
        <f t="shared" ref="S30:S31" ca="1" si="10">S21</f>
        <v>steuerbar &gt;=3 MW (ST)</v>
      </c>
      <c r="W30" s="14" t="str">
        <f t="shared" ref="W30:W31" ca="1" si="11">C21</f>
        <v>ST</v>
      </c>
      <c r="X30" s="328">
        <f t="shared" ref="X30:X31" si="12">R21</f>
        <v>1956.9463387376422</v>
      </c>
      <c r="Y30" s="328">
        <f t="shared" ref="Y30:Y31" si="13">Q30</f>
        <v>977.09985163724161</v>
      </c>
    </row>
    <row r="31" spans="1:25" ht="13.5" thickBot="1" x14ac:dyDescent="0.25">
      <c r="B31" s="247" t="str">
        <f t="shared" ca="1" si="6"/>
        <v>Gesamte Kosten Vorhaltung und Abruf</v>
      </c>
      <c r="C31" s="248" t="str">
        <f t="shared" ca="1" si="6"/>
        <v>PU</v>
      </c>
      <c r="D31" s="251">
        <f t="shared" si="7"/>
        <v>4275</v>
      </c>
      <c r="E31" s="294">
        <f t="shared" si="7"/>
        <v>1</v>
      </c>
      <c r="F31" s="305">
        <f t="shared" ref="F31:I31" si="14">F22</f>
        <v>0.44</v>
      </c>
      <c r="G31" s="305">
        <f t="shared" si="14"/>
        <v>0.8</v>
      </c>
      <c r="H31" s="305">
        <f t="shared" si="14"/>
        <v>0.44</v>
      </c>
      <c r="I31" s="305">
        <f t="shared" si="14"/>
        <v>0.8</v>
      </c>
      <c r="J31" s="297">
        <f t="shared" si="5"/>
        <v>918.74095208491678</v>
      </c>
      <c r="K31" s="245">
        <f t="shared" si="5"/>
        <v>2560.5348669094342</v>
      </c>
      <c r="L31" s="245">
        <f t="shared" si="5"/>
        <v>7753.7489669280085</v>
      </c>
      <c r="M31" s="245">
        <f t="shared" si="5"/>
        <v>1844.1474041953411</v>
      </c>
      <c r="N31" s="298">
        <f t="shared" si="5"/>
        <v>9155.8131061078384</v>
      </c>
      <c r="O31" s="301">
        <f>J31</f>
        <v>918.74095208491678</v>
      </c>
      <c r="P31" s="302">
        <f>K31+L31</f>
        <v>10314.283833837442</v>
      </c>
      <c r="Q31" s="303">
        <f>M31+N31</f>
        <v>10999.960510303179</v>
      </c>
      <c r="R31" s="6">
        <f t="shared" si="9"/>
        <v>22232.985296225539</v>
      </c>
      <c r="S31" t="str">
        <f t="shared" ca="1" si="10"/>
        <v>Pumpspeicher- und Umwälzkraftwerk (PU)</v>
      </c>
      <c r="W31" s="14" t="str">
        <f t="shared" ca="1" si="11"/>
        <v>PU</v>
      </c>
      <c r="X31" s="328">
        <f t="shared" si="12"/>
        <v>19235.770450559641</v>
      </c>
      <c r="Y31" s="328">
        <f t="shared" si="13"/>
        <v>10999.960510303179</v>
      </c>
    </row>
    <row r="32" spans="1:25" ht="13.5" thickBot="1" x14ac:dyDescent="0.25">
      <c r="A32" s="271"/>
      <c r="B32" s="278"/>
      <c r="C32" s="275"/>
      <c r="D32" s="271"/>
      <c r="E32" s="271"/>
      <c r="F32" s="271"/>
      <c r="G32" s="271"/>
      <c r="H32" s="271"/>
      <c r="I32" s="271"/>
      <c r="J32" s="271"/>
      <c r="K32" s="271"/>
      <c r="L32" s="271"/>
      <c r="M32" s="271"/>
      <c r="N32" s="271"/>
      <c r="O32" s="271"/>
      <c r="P32" s="271"/>
      <c r="Q32" s="271"/>
      <c r="R32" s="271"/>
      <c r="S32" s="271"/>
      <c r="T32" s="271"/>
      <c r="U32" s="271"/>
      <c r="V32" s="271"/>
      <c r="W32" s="271"/>
      <c r="X32" s="271"/>
      <c r="Y32" s="271"/>
    </row>
    <row r="33" spans="1:9" ht="26.1" customHeight="1" x14ac:dyDescent="0.2">
      <c r="A33" s="12" t="s">
        <v>125</v>
      </c>
      <c r="B33"/>
      <c r="C33" s="268"/>
      <c r="D33" s="268" t="s">
        <v>79</v>
      </c>
      <c r="E33" s="268"/>
      <c r="F33" s="269"/>
      <c r="G33" s="3" t="s">
        <v>57</v>
      </c>
      <c r="H33" s="269"/>
    </row>
    <row r="34" spans="1:9" x14ac:dyDescent="0.2">
      <c r="C34"/>
      <c r="D34" s="3" t="s">
        <v>10</v>
      </c>
      <c r="G34" s="3" t="s">
        <v>10</v>
      </c>
      <c r="I34" s="3"/>
    </row>
    <row r="35" spans="1:9" x14ac:dyDescent="0.2">
      <c r="A35" s="12"/>
      <c r="C35" s="3" t="str">
        <f>CONCATENATE(10,". ",$C$2-2)</f>
        <v>10. 2024</v>
      </c>
      <c r="D35" s="283">
        <v>77.95</v>
      </c>
      <c r="F35" s="3" t="str">
        <f>CONCATENATE(10,". ",$C$2-2)</f>
        <v>10. 2024</v>
      </c>
      <c r="G35" s="252">
        <f t="shared" ref="G35:G49" si="15">D35*$C$5</f>
        <v>3.8975000000000004</v>
      </c>
      <c r="I35" s="3"/>
    </row>
    <row r="36" spans="1:9" x14ac:dyDescent="0.2">
      <c r="C36" s="3" t="str">
        <f>CONCATENATE(11,". ",$C$2-2)</f>
        <v>11. 2024</v>
      </c>
      <c r="D36" s="283">
        <v>118.4</v>
      </c>
      <c r="F36" s="3" t="str">
        <f>CONCATENATE(11,". ",$C$2-2)</f>
        <v>11. 2024</v>
      </c>
      <c r="G36" s="252">
        <f t="shared" si="15"/>
        <v>5.9200000000000008</v>
      </c>
      <c r="I36" s="3"/>
    </row>
    <row r="37" spans="1:9" ht="13.5" thickBot="1" x14ac:dyDescent="0.25">
      <c r="C37" s="253" t="str">
        <f>CONCATENATE(12,". ",$C$2-2)</f>
        <v>12. 2024</v>
      </c>
      <c r="D37" s="284">
        <v>120.81</v>
      </c>
      <c r="F37" s="253" t="str">
        <f>CONCATENATE(12,". ",$C$2-2)</f>
        <v>12. 2024</v>
      </c>
      <c r="G37" s="254">
        <f t="shared" si="15"/>
        <v>6.0405000000000006</v>
      </c>
      <c r="I37" s="3"/>
    </row>
    <row r="38" spans="1:9" x14ac:dyDescent="0.2">
      <c r="C38" s="3" t="str">
        <f>CONCATENATE(1,". ",$C$2-1)</f>
        <v>1. 2025</v>
      </c>
      <c r="D38" s="285">
        <v>130.52000000000001</v>
      </c>
      <c r="F38" s="3" t="str">
        <f>CONCATENATE(1,". ",$C$2-1)</f>
        <v>1. 2025</v>
      </c>
      <c r="G38" s="255">
        <f t="shared" si="15"/>
        <v>6.5260000000000007</v>
      </c>
      <c r="I38" s="3"/>
    </row>
    <row r="39" spans="1:9" x14ac:dyDescent="0.2">
      <c r="C39" s="3" t="str">
        <f>CONCATENATE(2,". ",$C$2-1)</f>
        <v>2. 2025</v>
      </c>
      <c r="D39" s="283">
        <v>141.82</v>
      </c>
      <c r="F39" s="3" t="str">
        <f>CONCATENATE(2,". ",$C$2-1)</f>
        <v>2. 2025</v>
      </c>
      <c r="G39" s="252">
        <f t="shared" si="15"/>
        <v>7.0910000000000002</v>
      </c>
      <c r="I39" s="3"/>
    </row>
    <row r="40" spans="1:9" x14ac:dyDescent="0.2">
      <c r="C40" s="3" t="str">
        <f>CONCATENATE(3,". ",$C$2-1)</f>
        <v>3. 2025</v>
      </c>
      <c r="D40" s="283">
        <v>114.62</v>
      </c>
      <c r="F40" s="3" t="str">
        <f>CONCATENATE(3,". ",$C$2-1)</f>
        <v>3. 2025</v>
      </c>
      <c r="G40" s="252">
        <f t="shared" si="15"/>
        <v>5.7310000000000008</v>
      </c>
      <c r="I40" s="3"/>
    </row>
    <row r="41" spans="1:9" x14ac:dyDescent="0.2">
      <c r="C41" s="3" t="str">
        <f>CONCATENATE(4,". ",$C$2-1)</f>
        <v>4. 2025</v>
      </c>
      <c r="D41" s="283">
        <v>82.09</v>
      </c>
      <c r="F41" s="3" t="str">
        <f>CONCATENATE(4,". ",$C$2-1)</f>
        <v>4. 2025</v>
      </c>
      <c r="G41" s="252">
        <f t="shared" si="15"/>
        <v>4.1045000000000007</v>
      </c>
      <c r="I41" s="3"/>
    </row>
    <row r="42" spans="1:9" x14ac:dyDescent="0.2">
      <c r="C42" s="3" t="str">
        <f>CONCATENATE(5,". ",$C$2-1)</f>
        <v>5. 2025</v>
      </c>
      <c r="D42" s="283">
        <v>70.010000000000005</v>
      </c>
      <c r="F42" s="3" t="str">
        <f>CONCATENATE(5,". ",$C$2-1)</f>
        <v>5. 2025</v>
      </c>
      <c r="G42" s="252">
        <f t="shared" si="15"/>
        <v>3.5005000000000006</v>
      </c>
      <c r="I42" s="3"/>
    </row>
    <row r="43" spans="1:9" x14ac:dyDescent="0.2">
      <c r="C43" s="3" t="str">
        <f>CONCATENATE(6,". ",$C$2-1)</f>
        <v>6. 2025</v>
      </c>
      <c r="D43" s="283">
        <v>61.38</v>
      </c>
      <c r="F43" s="3" t="str">
        <f>CONCATENATE(6,". ",$C$2-1)</f>
        <v>6. 2025</v>
      </c>
      <c r="G43" s="252">
        <f t="shared" si="15"/>
        <v>3.0690000000000004</v>
      </c>
      <c r="I43" s="3"/>
    </row>
    <row r="44" spans="1:9" x14ac:dyDescent="0.2">
      <c r="C44" s="3" t="str">
        <f>CONCATENATE(7,". ",$C$2-1)</f>
        <v>7. 2025</v>
      </c>
      <c r="D44" s="283">
        <v>86.63</v>
      </c>
      <c r="F44" s="3" t="str">
        <f>CONCATENATE(7,". ",$C$2-1)</f>
        <v>7. 2025</v>
      </c>
      <c r="G44" s="252">
        <f t="shared" si="15"/>
        <v>4.3315000000000001</v>
      </c>
      <c r="I44" s="3"/>
    </row>
    <row r="45" spans="1:9" x14ac:dyDescent="0.2">
      <c r="C45" s="3" t="str">
        <f>CONCATENATE(8,". ",$C$2-1)</f>
        <v>8. 2025</v>
      </c>
      <c r="D45" s="283">
        <v>76.489999999999995</v>
      </c>
      <c r="F45" s="3" t="str">
        <f>CONCATENATE(8,". ",$C$2-1)</f>
        <v>8. 2025</v>
      </c>
      <c r="G45" s="252">
        <f t="shared" si="15"/>
        <v>3.8245</v>
      </c>
      <c r="I45" s="3"/>
    </row>
    <row r="46" spans="1:9" x14ac:dyDescent="0.2">
      <c r="C46" s="3" t="str">
        <f>CONCATENATE(9,". ",$C$2-1)</f>
        <v>9. 2025</v>
      </c>
      <c r="D46" s="283">
        <v>92.64</v>
      </c>
      <c r="F46" s="3" t="str">
        <f>CONCATENATE(9,". ",$C$2-1)</f>
        <v>9. 2025</v>
      </c>
      <c r="G46" s="252">
        <f t="shared" si="15"/>
        <v>4.6320000000000006</v>
      </c>
      <c r="I46" s="3"/>
    </row>
    <row r="47" spans="1:9" x14ac:dyDescent="0.2">
      <c r="C47" s="3" t="str">
        <f>CONCATENATE(10,". ",$C$2-1)</f>
        <v>10. 2025</v>
      </c>
      <c r="D47" s="283">
        <v>100.15</v>
      </c>
      <c r="F47" s="3" t="str">
        <f>CONCATENATE(10,". ",$C$2-1)</f>
        <v>10. 2025</v>
      </c>
      <c r="G47" s="252">
        <f t="shared" si="15"/>
        <v>5.0075000000000003</v>
      </c>
      <c r="I47" s="3"/>
    </row>
    <row r="48" spans="1:9" x14ac:dyDescent="0.2">
      <c r="C48" s="3" t="str">
        <f>CONCATENATE(11,". ",$C$2-1)</f>
        <v>11. 2025</v>
      </c>
      <c r="D48" s="283">
        <v>110.06</v>
      </c>
      <c r="F48" s="3" t="str">
        <f>CONCATENATE(11,". ",$C$2-1)</f>
        <v>11. 2025</v>
      </c>
      <c r="G48" s="252">
        <f t="shared" si="15"/>
        <v>5.5030000000000001</v>
      </c>
      <c r="I48" s="3"/>
    </row>
    <row r="49" spans="1:22" ht="13.5" thickBot="1" x14ac:dyDescent="0.25">
      <c r="C49" s="256" t="str">
        <f>CONCATENATE(12,". ",$C$2-1)</f>
        <v>12. 2025</v>
      </c>
      <c r="D49" s="286">
        <v>109.33</v>
      </c>
      <c r="F49" s="256" t="str">
        <f>CONCATENATE(12,". ",$C$2-1)</f>
        <v>12. 2025</v>
      </c>
      <c r="G49" s="257">
        <f t="shared" si="15"/>
        <v>5.4664999999999999</v>
      </c>
      <c r="I49" s="3"/>
    </row>
    <row r="50" spans="1:22" ht="13.5" thickTop="1" x14ac:dyDescent="0.2">
      <c r="B50"/>
      <c r="C50"/>
      <c r="I50" s="3"/>
    </row>
    <row r="51" spans="1:22" x14ac:dyDescent="0.2">
      <c r="B51"/>
      <c r="C51"/>
      <c r="I51" s="3"/>
    </row>
    <row r="52" spans="1:22" ht="13.5" thickBot="1" x14ac:dyDescent="0.25">
      <c r="A52" s="271"/>
      <c r="B52" s="278"/>
      <c r="C52" s="275"/>
      <c r="D52" s="271"/>
      <c r="E52" s="271"/>
      <c r="F52" s="271"/>
      <c r="G52" s="271"/>
      <c r="H52" s="271"/>
      <c r="I52" s="271"/>
      <c r="J52" s="271"/>
      <c r="K52" s="271"/>
      <c r="L52" s="271"/>
      <c r="M52" s="271"/>
      <c r="N52" s="271"/>
      <c r="O52" s="271"/>
      <c r="P52" s="271"/>
      <c r="Q52" s="271"/>
      <c r="R52" s="271"/>
      <c r="S52" s="271"/>
      <c r="T52" s="271"/>
      <c r="U52" s="271"/>
      <c r="V52" s="271"/>
    </row>
    <row r="53" spans="1:22" ht="26.1" customHeight="1" x14ac:dyDescent="0.2">
      <c r="A53" s="12" t="s">
        <v>16</v>
      </c>
      <c r="B53"/>
      <c r="C53" s="268"/>
      <c r="D53" s="268"/>
      <c r="E53" s="268"/>
      <c r="F53" s="269"/>
      <c r="G53" s="269"/>
      <c r="H53" s="269"/>
    </row>
    <row r="54" spans="1:22" x14ac:dyDescent="0.2">
      <c r="C54" s="3" t="s">
        <v>80</v>
      </c>
      <c r="D54" s="287">
        <v>8463000</v>
      </c>
      <c r="E54" s="1" t="s">
        <v>9</v>
      </c>
    </row>
    <row r="55" spans="1:22" x14ac:dyDescent="0.2">
      <c r="C55" s="3" t="s">
        <v>81</v>
      </c>
      <c r="D55" s="6">
        <v>10000</v>
      </c>
      <c r="E55" s="1" t="s">
        <v>9</v>
      </c>
    </row>
    <row r="56" spans="1:22" ht="15.75" x14ac:dyDescent="0.3">
      <c r="M56" s="14" t="s">
        <v>9</v>
      </c>
      <c r="N56" s="14" t="s">
        <v>1969</v>
      </c>
      <c r="O56" s="14" t="s">
        <v>1972</v>
      </c>
      <c r="P56" s="14" t="s">
        <v>10</v>
      </c>
    </row>
    <row r="57" spans="1:22" x14ac:dyDescent="0.2">
      <c r="C57" s="3" t="s">
        <v>82</v>
      </c>
      <c r="D57" s="6">
        <f>M60</f>
        <v>250000</v>
      </c>
      <c r="E57" s="1" t="s">
        <v>9</v>
      </c>
      <c r="F57" s="476" t="s">
        <v>1967</v>
      </c>
      <c r="K57" t="s">
        <v>1968</v>
      </c>
      <c r="L57" s="782">
        <v>45498</v>
      </c>
      <c r="M57" s="783">
        <v>63000</v>
      </c>
      <c r="N57" s="784">
        <v>53.17</v>
      </c>
      <c r="O57" s="785">
        <v>0.96779999999999999</v>
      </c>
      <c r="P57" s="266">
        <f>N57*O57</f>
        <v>51.457926</v>
      </c>
    </row>
    <row r="58" spans="1:22" x14ac:dyDescent="0.2">
      <c r="C58" s="3" t="s">
        <v>83</v>
      </c>
      <c r="D58" s="258">
        <f>D57/D54</f>
        <v>2.9540352120997284E-2</v>
      </c>
      <c r="K58" t="s">
        <v>1970</v>
      </c>
      <c r="L58" s="782">
        <v>45519</v>
      </c>
      <c r="M58" s="785">
        <v>82000</v>
      </c>
      <c r="N58" s="784">
        <v>68.2</v>
      </c>
      <c r="O58" s="785">
        <v>0.94489999999999996</v>
      </c>
      <c r="P58" s="266">
        <f t="shared" ref="P58:P59" si="16">N58*O58</f>
        <v>64.442179999999993</v>
      </c>
    </row>
    <row r="59" spans="1:22" x14ac:dyDescent="0.2">
      <c r="K59" t="s">
        <v>1971</v>
      </c>
      <c r="L59" s="782">
        <v>45533</v>
      </c>
      <c r="M59" s="785">
        <v>105000</v>
      </c>
      <c r="N59" s="784">
        <v>72.28</v>
      </c>
      <c r="O59" s="785">
        <v>0.94489999999999996</v>
      </c>
      <c r="P59" s="266">
        <f t="shared" si="16"/>
        <v>68.297371999999996</v>
      </c>
    </row>
    <row r="60" spans="1:22" x14ac:dyDescent="0.2">
      <c r="C60" s="3" t="s">
        <v>84</v>
      </c>
      <c r="D60" s="327">
        <f>P60</f>
        <v>62.789328632</v>
      </c>
      <c r="E60" s="1" t="s">
        <v>10</v>
      </c>
      <c r="M60" s="8">
        <f>SUM(M57:M59)</f>
        <v>250000</v>
      </c>
      <c r="P60" s="266">
        <f>(M57*P57+M58*P58+M59*P59)/M60</f>
        <v>62.789328632</v>
      </c>
    </row>
    <row r="61" spans="1:22" ht="13.5" thickBot="1" x14ac:dyDescent="0.25">
      <c r="A61" s="271"/>
      <c r="B61" s="278"/>
      <c r="C61" s="275"/>
      <c r="D61" s="271"/>
      <c r="E61" s="271"/>
      <c r="F61" s="271"/>
      <c r="G61" s="271"/>
      <c r="H61" s="271"/>
      <c r="I61" s="271"/>
      <c r="J61" s="271"/>
      <c r="K61" s="271"/>
      <c r="L61" s="271"/>
      <c r="M61" s="271"/>
      <c r="N61" s="271"/>
      <c r="O61" s="271"/>
      <c r="P61" s="271"/>
      <c r="Q61" s="271"/>
      <c r="R61" s="271"/>
      <c r="S61" s="271"/>
      <c r="T61" s="271"/>
      <c r="U61" s="271"/>
      <c r="V61" s="271"/>
    </row>
    <row r="62" spans="1:22" ht="26.1" customHeight="1" x14ac:dyDescent="0.2">
      <c r="A62" s="12" t="s">
        <v>1966</v>
      </c>
      <c r="B62"/>
      <c r="C62" s="268"/>
      <c r="D62" s="268"/>
      <c r="E62" s="268"/>
      <c r="F62" s="269"/>
      <c r="G62" s="269"/>
      <c r="H62" s="269"/>
    </row>
    <row r="64" spans="1:22" x14ac:dyDescent="0.2">
      <c r="B64" s="7" t="str">
        <f ca="1">OFFSET(Sprachen!A715,0,'START, DÉBUT, INIZIO'!$D$4-1,1,1)</f>
        <v>Hydrologisches Jahr</v>
      </c>
      <c r="C64" s="2" t="s">
        <v>10</v>
      </c>
    </row>
    <row r="65" spans="1:22" ht="78" customHeight="1" x14ac:dyDescent="0.2">
      <c r="B65" s="261" t="str">
        <f ca="1">OFFSET(Sprachen!A716,0,'START, DÉBUT, INIZIO'!$D$4-1,1,1)</f>
        <v>Traiding_Zeitraum</v>
      </c>
      <c r="C65" s="262" t="s">
        <v>1962</v>
      </c>
      <c r="D65" s="262" t="s">
        <v>86</v>
      </c>
      <c r="E65" s="262" t="s">
        <v>1963</v>
      </c>
      <c r="F65" s="235"/>
      <c r="G65" s="779" t="str">
        <f ca="1">B65</f>
        <v>Traiding_Zeitraum</v>
      </c>
      <c r="H65" s="263" t="str">
        <f ca="1">OFFSET(Sprachen!A717,0,'START, DÉBUT, INIZIO'!$D$4-1,1,1)</f>
        <v>Durchschnittspreis Maturity Q4/2023 – Q3/2024 DEBQ und DEBY</v>
      </c>
      <c r="I65" s="235"/>
      <c r="J65" s="14" t="s">
        <v>10</v>
      </c>
    </row>
    <row r="66" spans="1:22" x14ac:dyDescent="0.2">
      <c r="B66" s="780" t="s">
        <v>1964</v>
      </c>
      <c r="C66" s="781">
        <v>82.978805311286081</v>
      </c>
      <c r="D66" s="264"/>
      <c r="E66" s="264"/>
      <c r="G66" s="787" t="s">
        <v>1973</v>
      </c>
      <c r="H66" s="265">
        <f>0.75*C66+0.25*C67</f>
        <v>88.797033781083627</v>
      </c>
      <c r="I66" s="9">
        <f>1/3</f>
        <v>0.33333333333333331</v>
      </c>
      <c r="J66" s="266">
        <f>H66*I66</f>
        <v>29.599011260361209</v>
      </c>
    </row>
    <row r="67" spans="1:22" x14ac:dyDescent="0.2">
      <c r="B67" s="780" t="s">
        <v>1965</v>
      </c>
      <c r="C67" s="781">
        <v>106.25171919047625</v>
      </c>
      <c r="D67" s="264"/>
      <c r="E67" s="264"/>
      <c r="G67" s="787" t="s">
        <v>88</v>
      </c>
      <c r="H67" s="265">
        <f>0.75*(0.25*D68+0.75*E68)+0.25*(0.25*D69+0.75*E69)</f>
        <v>144.46658126347651</v>
      </c>
      <c r="I67" s="9">
        <f t="shared" ref="I67:I68" si="17">1/3</f>
        <v>0.33333333333333331</v>
      </c>
      <c r="J67" s="266">
        <f t="shared" ref="J67:J68" si="18">H67*I67</f>
        <v>48.155527087825504</v>
      </c>
    </row>
    <row r="68" spans="1:22" x14ac:dyDescent="0.2">
      <c r="B68" s="780" t="s">
        <v>87</v>
      </c>
      <c r="C68" s="264"/>
      <c r="D68" s="781">
        <v>142.41420986927082</v>
      </c>
      <c r="E68" s="781">
        <v>123.54944371302075</v>
      </c>
      <c r="G68" s="787" t="s">
        <v>90</v>
      </c>
      <c r="H68" s="265">
        <f>0.75*(0.25*D70+0.75*E70)+0.25*(0.25*D71+0.75*E71)</f>
        <v>135.5151149741211</v>
      </c>
      <c r="I68" s="9">
        <f t="shared" si="17"/>
        <v>0.33333333333333331</v>
      </c>
      <c r="J68" s="266">
        <f t="shared" si="18"/>
        <v>45.171704991373701</v>
      </c>
    </row>
    <row r="69" spans="1:22" x14ac:dyDescent="0.2">
      <c r="B69" s="780" t="s">
        <v>89</v>
      </c>
      <c r="C69" s="264"/>
      <c r="D69" s="781">
        <v>247.63604398125003</v>
      </c>
      <c r="E69" s="781">
        <v>174.88054440312499</v>
      </c>
      <c r="J69" s="786">
        <f>SUM(J66:J68)</f>
        <v>122.92624333956041</v>
      </c>
      <c r="K69" s="1" t="str">
        <f ca="1">OFFSET(Sprachen!A718,0,'START, DÉBUT, INIZIO'!$D$4-1,1,1)</f>
        <v>Terminmarktpreis</v>
      </c>
    </row>
    <row r="70" spans="1:22" x14ac:dyDescent="0.2">
      <c r="B70" s="780" t="s">
        <v>91</v>
      </c>
      <c r="C70" s="264"/>
      <c r="D70" s="781">
        <v>179.91685838082901</v>
      </c>
      <c r="E70" s="781">
        <v>144.56055677305699</v>
      </c>
    </row>
    <row r="71" spans="1:22" x14ac:dyDescent="0.2">
      <c r="B71" s="780" t="s">
        <v>92</v>
      </c>
      <c r="C71" s="264"/>
      <c r="D71" s="781">
        <v>84.07710145625002</v>
      </c>
      <c r="E71" s="781">
        <v>81.123050676562485</v>
      </c>
    </row>
    <row r="72" spans="1:22" ht="13.5" thickBot="1" x14ac:dyDescent="0.25">
      <c r="A72" s="271"/>
      <c r="B72" s="278"/>
      <c r="C72" s="275"/>
      <c r="D72" s="271"/>
      <c r="E72" s="271"/>
      <c r="F72" s="271"/>
      <c r="G72" s="271"/>
      <c r="H72" s="271"/>
      <c r="I72" s="271"/>
      <c r="J72" s="271"/>
      <c r="K72" s="271"/>
      <c r="L72" s="271"/>
      <c r="M72" s="271"/>
      <c r="N72" s="271"/>
      <c r="O72" s="271"/>
      <c r="P72" s="271"/>
      <c r="Q72" s="271"/>
      <c r="R72" s="271"/>
      <c r="S72" s="271"/>
      <c r="T72" s="271"/>
      <c r="U72" s="271"/>
      <c r="V72" s="271"/>
    </row>
  </sheetData>
  <sheetProtection algorithmName="SHA-512" hashValue="dykhcQRh75CeYvv886i3GMWVdj/we3z6BMb+/wdgTQgEwqt/hBTE0n6uUALVxWUs4ltZB5jNWbQ5Y5Ql7sU8rg==" saltValue="kOuReqpeODrKEHbGu9VrLQ==" spinCount="100000" sheet="1" objects="1" scenarios="1"/>
  <mergeCells count="6">
    <mergeCell ref="E19:I19"/>
    <mergeCell ref="O19:Q19"/>
    <mergeCell ref="E28:I28"/>
    <mergeCell ref="O28:Q28"/>
    <mergeCell ref="J19:N19"/>
    <mergeCell ref="J28:N28"/>
  </mergeCells>
  <phoneticPr fontId="6" type="noConversion"/>
  <hyperlinks>
    <hyperlink ref="F57" r:id="rId1" display="https://www.swissgrid.ch/de/home/newsroom/newsfeed/20240829-01.html" xr:uid="{284A3611-64B4-4930-9A25-EB43DDC02E2E}"/>
  </hyperlinks>
  <pageMargins left="0.7" right="0.7" top="0.78740157499999996" bottom="0.78740157499999996" header="0.3" footer="0.3"/>
  <pageSetup orientation="portrait" horizontalDpi="90" verticalDpi="90"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23397-00F8-400A-9569-4CD170EBFBC6}">
  <sheetPr>
    <tabColor rgb="FFFFFFCC"/>
  </sheetPr>
  <dimension ref="A1:F53"/>
  <sheetViews>
    <sheetView showGridLines="0" workbookViewId="0">
      <selection activeCell="B40" sqref="B40"/>
    </sheetView>
  </sheetViews>
  <sheetFormatPr baseColWidth="10" defaultRowHeight="12.75" x14ac:dyDescent="0.2"/>
  <cols>
    <col min="1" max="1" width="2.85546875" style="13" bestFit="1" customWidth="1"/>
    <col min="2" max="3" width="11.42578125" style="13"/>
    <col min="4" max="4" width="112.5703125" style="320" customWidth="1"/>
    <col min="5" max="5" width="6.42578125" style="3" customWidth="1"/>
    <col min="6" max="6" width="12.42578125" style="3" customWidth="1"/>
  </cols>
  <sheetData>
    <row r="1" spans="1:6" x14ac:dyDescent="0.2">
      <c r="A1" s="444" t="s">
        <v>1154</v>
      </c>
      <c r="B1" s="444" t="s">
        <v>1155</v>
      </c>
      <c r="C1" s="444" t="s">
        <v>1156</v>
      </c>
      <c r="D1" s="445" t="s">
        <v>1157</v>
      </c>
      <c r="E1" s="249" t="s">
        <v>1168</v>
      </c>
      <c r="F1" s="249" t="s">
        <v>1170</v>
      </c>
    </row>
    <row r="2" spans="1:6" ht="25.5" x14ac:dyDescent="0.2">
      <c r="A2" s="13">
        <v>1</v>
      </c>
      <c r="B2" s="442" t="s">
        <v>1163</v>
      </c>
      <c r="C2" s="442" t="s">
        <v>1162</v>
      </c>
      <c r="D2" s="443" t="s">
        <v>1167</v>
      </c>
      <c r="E2" s="442" t="s">
        <v>1169</v>
      </c>
      <c r="F2" s="446">
        <v>45903</v>
      </c>
    </row>
    <row r="3" spans="1:6" x14ac:dyDescent="0.2">
      <c r="A3" s="13">
        <v>2</v>
      </c>
      <c r="B3" s="442">
        <v>1</v>
      </c>
      <c r="C3" s="442" t="s">
        <v>1165</v>
      </c>
      <c r="D3" s="443" t="s">
        <v>1166</v>
      </c>
      <c r="E3" s="442" t="s">
        <v>1169</v>
      </c>
      <c r="F3" s="446">
        <v>45903</v>
      </c>
    </row>
    <row r="4" spans="1:6" x14ac:dyDescent="0.2">
      <c r="A4" s="13">
        <v>3</v>
      </c>
      <c r="B4" s="442">
        <v>1</v>
      </c>
      <c r="C4" s="442" t="s">
        <v>1159</v>
      </c>
      <c r="D4" s="443" t="s">
        <v>1171</v>
      </c>
      <c r="E4" s="442" t="s">
        <v>1169</v>
      </c>
      <c r="F4" s="446">
        <v>45903</v>
      </c>
    </row>
    <row r="5" spans="1:6" x14ac:dyDescent="0.2">
      <c r="A5" s="13">
        <v>4</v>
      </c>
      <c r="B5" s="442">
        <v>2</v>
      </c>
      <c r="C5" s="442" t="s">
        <v>1165</v>
      </c>
      <c r="D5" s="443" t="s">
        <v>1166</v>
      </c>
      <c r="E5" s="442" t="s">
        <v>1169</v>
      </c>
      <c r="F5" s="446">
        <v>45903</v>
      </c>
    </row>
    <row r="6" spans="1:6" x14ac:dyDescent="0.2">
      <c r="A6" s="13">
        <v>5</v>
      </c>
      <c r="B6" s="442">
        <v>2</v>
      </c>
      <c r="C6" s="442" t="s">
        <v>1159</v>
      </c>
      <c r="D6" s="443" t="s">
        <v>1171</v>
      </c>
      <c r="E6" s="442" t="s">
        <v>1169</v>
      </c>
      <c r="F6" s="446">
        <v>45903</v>
      </c>
    </row>
    <row r="7" spans="1:6" x14ac:dyDescent="0.2">
      <c r="A7" s="13">
        <v>6</v>
      </c>
      <c r="B7" s="442">
        <v>3</v>
      </c>
      <c r="C7" s="442" t="s">
        <v>1176</v>
      </c>
      <c r="D7" s="443" t="s">
        <v>1166</v>
      </c>
      <c r="E7" s="442" t="s">
        <v>1169</v>
      </c>
      <c r="F7" s="446">
        <v>45903</v>
      </c>
    </row>
    <row r="8" spans="1:6" x14ac:dyDescent="0.2">
      <c r="A8" s="13">
        <v>7</v>
      </c>
      <c r="B8" s="442">
        <v>3</v>
      </c>
      <c r="C8" s="442" t="s">
        <v>1178</v>
      </c>
      <c r="D8" s="443" t="s">
        <v>1171</v>
      </c>
      <c r="E8" s="442" t="s">
        <v>1169</v>
      </c>
      <c r="F8" s="446">
        <v>45903</v>
      </c>
    </row>
    <row r="9" spans="1:6" x14ac:dyDescent="0.2">
      <c r="A9" s="13">
        <v>8</v>
      </c>
      <c r="B9" s="442">
        <v>4</v>
      </c>
      <c r="C9" s="442" t="s">
        <v>1165</v>
      </c>
      <c r="D9" s="443" t="s">
        <v>1166</v>
      </c>
      <c r="E9" s="442" t="s">
        <v>1169</v>
      </c>
      <c r="F9" s="446">
        <v>45903</v>
      </c>
    </row>
    <row r="10" spans="1:6" x14ac:dyDescent="0.2">
      <c r="A10" s="13">
        <v>9</v>
      </c>
      <c r="B10" s="442">
        <v>4</v>
      </c>
      <c r="C10" s="442" t="s">
        <v>1159</v>
      </c>
      <c r="D10" s="443" t="s">
        <v>1171</v>
      </c>
      <c r="E10" s="442" t="s">
        <v>1169</v>
      </c>
      <c r="F10" s="446">
        <v>45903</v>
      </c>
    </row>
    <row r="11" spans="1:6" x14ac:dyDescent="0.2">
      <c r="A11" s="13">
        <v>10</v>
      </c>
      <c r="B11" s="442">
        <v>5</v>
      </c>
      <c r="C11" s="442" t="s">
        <v>1165</v>
      </c>
      <c r="D11" s="443" t="s">
        <v>1166</v>
      </c>
      <c r="E11" s="442" t="s">
        <v>1169</v>
      </c>
      <c r="F11" s="446">
        <v>45903</v>
      </c>
    </row>
    <row r="12" spans="1:6" x14ac:dyDescent="0.2">
      <c r="A12" s="13">
        <v>11</v>
      </c>
      <c r="B12" s="442">
        <v>5</v>
      </c>
      <c r="C12" s="442" t="s">
        <v>1159</v>
      </c>
      <c r="D12" s="443" t="s">
        <v>1171</v>
      </c>
      <c r="E12" s="442" t="s">
        <v>1169</v>
      </c>
      <c r="F12" s="446">
        <v>45903</v>
      </c>
    </row>
    <row r="13" spans="1:6" x14ac:dyDescent="0.2">
      <c r="A13" s="13">
        <v>12</v>
      </c>
      <c r="B13" s="442">
        <v>6</v>
      </c>
      <c r="C13" s="442" t="s">
        <v>1177</v>
      </c>
      <c r="D13" s="443" t="s">
        <v>1166</v>
      </c>
      <c r="E13" s="442" t="s">
        <v>1169</v>
      </c>
      <c r="F13" s="446">
        <v>45903</v>
      </c>
    </row>
    <row r="14" spans="1:6" x14ac:dyDescent="0.2">
      <c r="A14" s="13">
        <v>13</v>
      </c>
      <c r="B14" s="442">
        <v>6</v>
      </c>
      <c r="C14" s="442" t="s">
        <v>1158</v>
      </c>
      <c r="D14" s="443" t="s">
        <v>1171</v>
      </c>
      <c r="E14" s="442" t="s">
        <v>1169</v>
      </c>
      <c r="F14" s="446">
        <v>45903</v>
      </c>
    </row>
    <row r="15" spans="1:6" x14ac:dyDescent="0.2">
      <c r="A15" s="13">
        <v>14</v>
      </c>
      <c r="B15" s="442" t="s">
        <v>37</v>
      </c>
      <c r="C15" s="442" t="s">
        <v>1172</v>
      </c>
      <c r="D15" s="443" t="s">
        <v>1174</v>
      </c>
      <c r="E15" s="442" t="s">
        <v>1169</v>
      </c>
      <c r="F15" s="446">
        <v>45903</v>
      </c>
    </row>
    <row r="16" spans="1:6" x14ac:dyDescent="0.2">
      <c r="A16" s="13">
        <v>15</v>
      </c>
      <c r="B16" s="442" t="s">
        <v>37</v>
      </c>
      <c r="C16" s="442" t="s">
        <v>1173</v>
      </c>
      <c r="D16" s="443" t="s">
        <v>1175</v>
      </c>
      <c r="E16" s="442" t="s">
        <v>1169</v>
      </c>
      <c r="F16" s="446">
        <v>45903</v>
      </c>
    </row>
    <row r="17" spans="1:6" x14ac:dyDescent="0.2">
      <c r="A17" s="13">
        <v>16</v>
      </c>
      <c r="B17" s="442">
        <v>1</v>
      </c>
      <c r="C17" s="442" t="s">
        <v>1180</v>
      </c>
      <c r="D17" s="443" t="s">
        <v>1181</v>
      </c>
      <c r="E17" s="442" t="s">
        <v>1169</v>
      </c>
      <c r="F17" s="446">
        <v>45903</v>
      </c>
    </row>
    <row r="18" spans="1:6" x14ac:dyDescent="0.2">
      <c r="A18" s="13">
        <v>17</v>
      </c>
      <c r="B18" s="442">
        <v>2</v>
      </c>
      <c r="C18" s="442" t="s">
        <v>1180</v>
      </c>
      <c r="D18" s="443" t="s">
        <v>1181</v>
      </c>
      <c r="E18" s="442" t="s">
        <v>1169</v>
      </c>
      <c r="F18" s="446">
        <v>45903</v>
      </c>
    </row>
    <row r="19" spans="1:6" x14ac:dyDescent="0.2">
      <c r="A19" s="13">
        <v>18</v>
      </c>
      <c r="B19" s="442">
        <v>3</v>
      </c>
      <c r="C19" s="442" t="s">
        <v>1182</v>
      </c>
      <c r="D19" s="443" t="s">
        <v>1181</v>
      </c>
      <c r="E19" s="442" t="s">
        <v>1169</v>
      </c>
      <c r="F19" s="446">
        <v>45903</v>
      </c>
    </row>
    <row r="20" spans="1:6" x14ac:dyDescent="0.2">
      <c r="A20" s="13">
        <v>19</v>
      </c>
      <c r="B20" s="442">
        <v>4</v>
      </c>
      <c r="C20" s="442" t="s">
        <v>1180</v>
      </c>
      <c r="D20" s="443" t="s">
        <v>1181</v>
      </c>
      <c r="E20" s="442" t="s">
        <v>1169</v>
      </c>
      <c r="F20" s="446">
        <v>45903</v>
      </c>
    </row>
    <row r="21" spans="1:6" x14ac:dyDescent="0.2">
      <c r="A21" s="13">
        <v>20</v>
      </c>
      <c r="B21" s="442">
        <v>5</v>
      </c>
      <c r="C21" s="442" t="s">
        <v>1180</v>
      </c>
      <c r="D21" s="443" t="s">
        <v>1181</v>
      </c>
      <c r="E21" s="442" t="s">
        <v>1169</v>
      </c>
      <c r="F21" s="446">
        <v>45903</v>
      </c>
    </row>
    <row r="22" spans="1:6" x14ac:dyDescent="0.2">
      <c r="A22" s="13">
        <v>21</v>
      </c>
      <c r="B22" s="442">
        <v>6</v>
      </c>
      <c r="C22" s="442" t="s">
        <v>1183</v>
      </c>
      <c r="D22" s="443" t="s">
        <v>1181</v>
      </c>
      <c r="E22" s="442" t="s">
        <v>1169</v>
      </c>
      <c r="F22" s="446">
        <v>45903</v>
      </c>
    </row>
    <row r="23" spans="1:6" x14ac:dyDescent="0.2">
      <c r="A23" s="13">
        <v>22</v>
      </c>
      <c r="B23" s="442">
        <v>1</v>
      </c>
      <c r="C23" s="442" t="s">
        <v>1186</v>
      </c>
      <c r="D23" s="443" t="s">
        <v>1181</v>
      </c>
      <c r="E23" s="442" t="s">
        <v>1169</v>
      </c>
      <c r="F23" s="446">
        <v>45903</v>
      </c>
    </row>
    <row r="24" spans="1:6" x14ac:dyDescent="0.2">
      <c r="A24" s="13">
        <v>23</v>
      </c>
      <c r="B24" s="442">
        <v>1</v>
      </c>
      <c r="C24" s="442" t="s">
        <v>1187</v>
      </c>
      <c r="D24" s="443" t="s">
        <v>1181</v>
      </c>
      <c r="E24" s="442" t="s">
        <v>1169</v>
      </c>
      <c r="F24" s="446">
        <v>45903</v>
      </c>
    </row>
    <row r="25" spans="1:6" x14ac:dyDescent="0.2">
      <c r="A25" s="13">
        <v>24</v>
      </c>
      <c r="B25" s="442">
        <v>2</v>
      </c>
      <c r="C25" s="442" t="s">
        <v>1186</v>
      </c>
      <c r="D25" s="443" t="s">
        <v>1181</v>
      </c>
      <c r="E25" s="442" t="s">
        <v>1169</v>
      </c>
      <c r="F25" s="446">
        <v>45903</v>
      </c>
    </row>
    <row r="26" spans="1:6" x14ac:dyDescent="0.2">
      <c r="A26" s="13">
        <v>25</v>
      </c>
      <c r="B26" s="442">
        <v>2</v>
      </c>
      <c r="C26" s="442" t="s">
        <v>1187</v>
      </c>
      <c r="D26" s="443" t="s">
        <v>1181</v>
      </c>
      <c r="E26" s="442" t="s">
        <v>1169</v>
      </c>
      <c r="F26" s="446">
        <v>45903</v>
      </c>
    </row>
    <row r="27" spans="1:6" x14ac:dyDescent="0.2">
      <c r="A27" s="13">
        <v>26</v>
      </c>
      <c r="B27" s="442">
        <v>3</v>
      </c>
      <c r="C27" s="442" t="s">
        <v>1188</v>
      </c>
      <c r="D27" s="443" t="s">
        <v>1181</v>
      </c>
      <c r="E27" s="442" t="s">
        <v>1169</v>
      </c>
      <c r="F27" s="446">
        <v>45903</v>
      </c>
    </row>
    <row r="28" spans="1:6" x14ac:dyDescent="0.2">
      <c r="A28" s="13">
        <v>27</v>
      </c>
      <c r="B28" s="442">
        <v>3</v>
      </c>
      <c r="C28" s="442" t="s">
        <v>1189</v>
      </c>
      <c r="D28" s="443" t="s">
        <v>1181</v>
      </c>
      <c r="E28" s="442" t="s">
        <v>1169</v>
      </c>
      <c r="F28" s="446">
        <v>45903</v>
      </c>
    </row>
    <row r="29" spans="1:6" x14ac:dyDescent="0.2">
      <c r="A29" s="13">
        <v>28</v>
      </c>
      <c r="B29" s="442">
        <v>4</v>
      </c>
      <c r="C29" s="442" t="s">
        <v>1186</v>
      </c>
      <c r="D29" s="443" t="s">
        <v>1181</v>
      </c>
      <c r="E29" s="442" t="s">
        <v>1169</v>
      </c>
      <c r="F29" s="446">
        <v>45903</v>
      </c>
    </row>
    <row r="30" spans="1:6" x14ac:dyDescent="0.2">
      <c r="A30" s="13">
        <v>29</v>
      </c>
      <c r="B30" s="442">
        <v>4</v>
      </c>
      <c r="C30" s="442" t="s">
        <v>1187</v>
      </c>
      <c r="D30" s="443" t="s">
        <v>1181</v>
      </c>
      <c r="E30" s="442" t="s">
        <v>1169</v>
      </c>
      <c r="F30" s="446">
        <v>45903</v>
      </c>
    </row>
    <row r="31" spans="1:6" x14ac:dyDescent="0.2">
      <c r="A31" s="13">
        <v>30</v>
      </c>
      <c r="B31" s="442">
        <v>5</v>
      </c>
      <c r="C31" s="442" t="s">
        <v>1186</v>
      </c>
      <c r="D31" s="443" t="s">
        <v>1181</v>
      </c>
      <c r="E31" s="442" t="s">
        <v>1169</v>
      </c>
      <c r="F31" s="446">
        <v>45903</v>
      </c>
    </row>
    <row r="32" spans="1:6" x14ac:dyDescent="0.2">
      <c r="A32" s="13">
        <v>31</v>
      </c>
      <c r="B32" s="442">
        <v>5</v>
      </c>
      <c r="C32" s="442" t="s">
        <v>1187</v>
      </c>
      <c r="D32" s="443" t="s">
        <v>1181</v>
      </c>
      <c r="E32" s="442" t="s">
        <v>1169</v>
      </c>
      <c r="F32" s="446">
        <v>45903</v>
      </c>
    </row>
    <row r="33" spans="1:6" x14ac:dyDescent="0.2">
      <c r="A33" s="13">
        <v>32</v>
      </c>
      <c r="B33" s="442">
        <v>6</v>
      </c>
      <c r="C33" s="442" t="s">
        <v>1190</v>
      </c>
      <c r="D33" s="443" t="s">
        <v>1181</v>
      </c>
      <c r="E33" s="442" t="s">
        <v>1169</v>
      </c>
      <c r="F33" s="446">
        <v>45903</v>
      </c>
    </row>
    <row r="34" spans="1:6" x14ac:dyDescent="0.2">
      <c r="A34" s="13">
        <v>33</v>
      </c>
      <c r="B34" s="442">
        <v>6</v>
      </c>
      <c r="C34" s="442" t="s">
        <v>1186</v>
      </c>
      <c r="D34" s="443" t="s">
        <v>1181</v>
      </c>
      <c r="E34" s="442" t="s">
        <v>1169</v>
      </c>
      <c r="F34" s="446">
        <v>45903</v>
      </c>
    </row>
    <row r="35" spans="1:6" x14ac:dyDescent="0.2">
      <c r="A35" s="13">
        <v>34</v>
      </c>
      <c r="B35" s="442" t="s">
        <v>37</v>
      </c>
      <c r="C35" s="442" t="s">
        <v>1191</v>
      </c>
      <c r="D35" s="443" t="s">
        <v>1192</v>
      </c>
      <c r="E35" s="442" t="s">
        <v>1169</v>
      </c>
      <c r="F35" s="446">
        <v>45903</v>
      </c>
    </row>
    <row r="36" spans="1:6" x14ac:dyDescent="0.2">
      <c r="A36" s="13">
        <v>35</v>
      </c>
      <c r="B36" s="442" t="s">
        <v>37</v>
      </c>
      <c r="C36" s="442" t="s">
        <v>1193</v>
      </c>
      <c r="D36" s="443" t="s">
        <v>1194</v>
      </c>
      <c r="E36" s="442" t="s">
        <v>1169</v>
      </c>
      <c r="F36" s="446">
        <v>45903</v>
      </c>
    </row>
    <row r="37" spans="1:6" x14ac:dyDescent="0.2">
      <c r="A37" s="13">
        <v>35</v>
      </c>
      <c r="B37" s="442" t="s">
        <v>1207</v>
      </c>
      <c r="C37" s="442" t="s">
        <v>1208</v>
      </c>
      <c r="D37" s="443" t="s">
        <v>1209</v>
      </c>
      <c r="E37" s="442" t="s">
        <v>1169</v>
      </c>
      <c r="F37" s="446">
        <v>45904</v>
      </c>
    </row>
    <row r="38" spans="1:6" x14ac:dyDescent="0.2">
      <c r="A38" s="13">
        <v>35</v>
      </c>
      <c r="B38" s="442" t="s">
        <v>1207</v>
      </c>
      <c r="C38" s="442" t="s">
        <v>1210</v>
      </c>
      <c r="D38" s="443" t="s">
        <v>1209</v>
      </c>
      <c r="E38" s="442" t="s">
        <v>1169</v>
      </c>
      <c r="F38" s="446">
        <v>45904</v>
      </c>
    </row>
    <row r="39" spans="1:6" x14ac:dyDescent="0.2">
      <c r="A39" s="13">
        <v>35</v>
      </c>
      <c r="B39" s="442" t="s">
        <v>1207</v>
      </c>
      <c r="C39" s="442" t="s">
        <v>1211</v>
      </c>
      <c r="D39" s="443" t="s">
        <v>1212</v>
      </c>
      <c r="E39" s="442" t="s">
        <v>1169</v>
      </c>
      <c r="F39" s="446">
        <v>45904</v>
      </c>
    </row>
    <row r="40" spans="1:6" x14ac:dyDescent="0.2">
      <c r="A40" s="13">
        <v>34</v>
      </c>
      <c r="B40" s="442"/>
      <c r="C40" s="442"/>
      <c r="D40" s="443"/>
      <c r="E40" s="442"/>
      <c r="F40" s="442"/>
    </row>
    <row r="41" spans="1:6" x14ac:dyDescent="0.2">
      <c r="A41" s="13">
        <v>35</v>
      </c>
      <c r="B41" s="442"/>
      <c r="C41" s="442"/>
      <c r="D41" s="443"/>
      <c r="E41" s="442"/>
      <c r="F41" s="442"/>
    </row>
    <row r="42" spans="1:6" x14ac:dyDescent="0.2">
      <c r="A42" s="13">
        <v>34</v>
      </c>
      <c r="B42" s="442"/>
      <c r="C42" s="442"/>
      <c r="D42" s="443"/>
      <c r="E42" s="442"/>
      <c r="F42" s="442"/>
    </row>
    <row r="43" spans="1:6" x14ac:dyDescent="0.2">
      <c r="A43" s="13">
        <v>35</v>
      </c>
      <c r="B43" s="442"/>
      <c r="C43" s="442"/>
      <c r="D43" s="443"/>
      <c r="E43" s="442"/>
      <c r="F43" s="442"/>
    </row>
    <row r="44" spans="1:6" x14ac:dyDescent="0.2">
      <c r="A44" s="13">
        <v>34</v>
      </c>
      <c r="B44" s="442"/>
      <c r="C44" s="442"/>
      <c r="D44" s="443"/>
      <c r="E44" s="442"/>
      <c r="F44" s="442"/>
    </row>
    <row r="45" spans="1:6" x14ac:dyDescent="0.2">
      <c r="A45" s="13">
        <v>35</v>
      </c>
      <c r="B45" s="442"/>
      <c r="C45" s="442"/>
      <c r="D45" s="443"/>
      <c r="E45" s="442"/>
      <c r="F45" s="442"/>
    </row>
    <row r="46" spans="1:6" x14ac:dyDescent="0.2">
      <c r="A46" s="13">
        <v>34</v>
      </c>
      <c r="B46" s="442"/>
      <c r="C46" s="442"/>
      <c r="D46" s="443"/>
      <c r="E46" s="442"/>
      <c r="F46" s="442"/>
    </row>
    <row r="47" spans="1:6" x14ac:dyDescent="0.2">
      <c r="A47" s="13">
        <v>35</v>
      </c>
      <c r="B47" s="442"/>
      <c r="C47" s="442"/>
      <c r="D47" s="443"/>
      <c r="E47" s="442"/>
      <c r="F47" s="442"/>
    </row>
    <row r="48" spans="1:6" x14ac:dyDescent="0.2">
      <c r="A48" s="13">
        <v>34</v>
      </c>
      <c r="B48" s="442"/>
      <c r="C48" s="442"/>
      <c r="D48" s="443"/>
      <c r="E48" s="442"/>
      <c r="F48" s="442"/>
    </row>
    <row r="49" spans="1:6" x14ac:dyDescent="0.2">
      <c r="A49" s="13">
        <v>35</v>
      </c>
      <c r="B49" s="442"/>
      <c r="C49" s="442"/>
      <c r="D49" s="443"/>
      <c r="E49" s="442"/>
      <c r="F49" s="442"/>
    </row>
    <row r="50" spans="1:6" x14ac:dyDescent="0.2">
      <c r="A50" s="13">
        <v>34</v>
      </c>
      <c r="B50" s="442"/>
      <c r="C50" s="442"/>
      <c r="D50" s="443"/>
      <c r="E50" s="442"/>
      <c r="F50" s="442"/>
    </row>
    <row r="51" spans="1:6" x14ac:dyDescent="0.2">
      <c r="A51" s="13">
        <v>35</v>
      </c>
      <c r="B51" s="442"/>
      <c r="C51" s="442"/>
      <c r="D51" s="443"/>
      <c r="E51" s="442"/>
      <c r="F51" s="442"/>
    </row>
    <row r="52" spans="1:6" x14ac:dyDescent="0.2">
      <c r="A52" s="13">
        <v>34</v>
      </c>
      <c r="B52" s="442"/>
      <c r="C52" s="442"/>
      <c r="D52" s="443"/>
      <c r="E52" s="442"/>
      <c r="F52" s="442"/>
    </row>
    <row r="53" spans="1:6" x14ac:dyDescent="0.2">
      <c r="A53" s="13">
        <v>35</v>
      </c>
      <c r="B53" s="442"/>
      <c r="C53" s="442"/>
      <c r="D53" s="443"/>
      <c r="E53" s="442"/>
      <c r="F53" s="442"/>
    </row>
  </sheetData>
  <sheetProtection algorithmName="SHA-512" hashValue="fMNqF6/XoaM4pkuKMIckYgO2V+KZn9UbdJUqgbzOZqHvMigdAHsBLSbfpiDoh6bEKZ0oIzHFtzVXJK/aa4jxXw==" saltValue="0J/f9DC+9Aj1peJoFvpsFg==" spinCount="100000" sheet="1" objects="1" scenarios="1"/>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CE783-3D56-4083-B783-282830E7330E}">
  <sheetPr>
    <tabColor rgb="FFFFFFCC"/>
  </sheetPr>
  <dimension ref="A1:M775"/>
  <sheetViews>
    <sheetView zoomScale="89" zoomScaleNormal="89" workbookViewId="0">
      <selection activeCell="C4" sqref="C4"/>
    </sheetView>
  </sheetViews>
  <sheetFormatPr baseColWidth="10" defaultColWidth="11.42578125" defaultRowHeight="12.75" x14ac:dyDescent="0.2"/>
  <cols>
    <col min="1" max="1" width="95.7109375" style="392" customWidth="1"/>
    <col min="2" max="2" width="103.85546875" style="392" customWidth="1"/>
    <col min="3" max="3" width="89.28515625" style="392" customWidth="1"/>
    <col min="4" max="16384" width="11.42578125" style="392"/>
  </cols>
  <sheetData>
    <row r="1" spans="1:3" x14ac:dyDescent="0.2">
      <c r="A1" s="391" t="s">
        <v>32</v>
      </c>
      <c r="B1" s="391" t="s">
        <v>39</v>
      </c>
      <c r="C1" s="391" t="s">
        <v>40</v>
      </c>
    </row>
    <row r="3" spans="1:3" x14ac:dyDescent="0.2">
      <c r="A3" s="395" t="s">
        <v>827</v>
      </c>
      <c r="B3" s="395" t="s">
        <v>828</v>
      </c>
      <c r="C3" s="395" t="s">
        <v>829</v>
      </c>
    </row>
    <row r="4" spans="1:3" x14ac:dyDescent="0.2">
      <c r="A4" s="392" t="s">
        <v>1977</v>
      </c>
      <c r="B4" s="392" t="s">
        <v>1978</v>
      </c>
      <c r="C4" s="392" t="s">
        <v>1979</v>
      </c>
    </row>
    <row r="5" spans="1:3" s="432" customFormat="1" x14ac:dyDescent="0.2">
      <c r="A5" s="432" t="s">
        <v>1583</v>
      </c>
      <c r="B5" s="432" t="s">
        <v>1584</v>
      </c>
      <c r="C5" s="432" t="s">
        <v>1585</v>
      </c>
    </row>
    <row r="6" spans="1:3" x14ac:dyDescent="0.2">
      <c r="A6" s="391" t="s">
        <v>1215</v>
      </c>
      <c r="B6" s="391" t="s">
        <v>1216</v>
      </c>
      <c r="C6" s="391" t="s">
        <v>1217</v>
      </c>
    </row>
    <row r="7" spans="1:3" x14ac:dyDescent="0.2">
      <c r="A7" s="391" t="s">
        <v>1218</v>
      </c>
      <c r="B7" s="391" t="s">
        <v>1219</v>
      </c>
      <c r="C7" s="391" t="s">
        <v>1220</v>
      </c>
    </row>
    <row r="8" spans="1:3" s="450" customFormat="1" ht="15.75" x14ac:dyDescent="0.25">
      <c r="A8" s="451" t="s">
        <v>1235</v>
      </c>
      <c r="B8" s="391" t="s">
        <v>1793</v>
      </c>
      <c r="C8" s="391" t="s">
        <v>1792</v>
      </c>
    </row>
    <row r="9" spans="1:3" s="453" customFormat="1" ht="15" x14ac:dyDescent="0.2">
      <c r="A9" s="235" t="s">
        <v>292</v>
      </c>
      <c r="B9" s="392" t="s">
        <v>293</v>
      </c>
      <c r="C9" s="392" t="s">
        <v>1500</v>
      </c>
    </row>
    <row r="10" spans="1:3" s="453" customFormat="1" ht="15" x14ac:dyDescent="0.2">
      <c r="A10" s="235" t="s">
        <v>108</v>
      </c>
      <c r="B10" s="392" t="s">
        <v>813</v>
      </c>
      <c r="C10" s="392" t="s">
        <v>814</v>
      </c>
    </row>
    <row r="11" spans="1:3" s="453" customFormat="1" ht="15" x14ac:dyDescent="0.2">
      <c r="A11" s="235" t="s">
        <v>1368</v>
      </c>
      <c r="B11" s="392" t="s">
        <v>1501</v>
      </c>
      <c r="C11" s="392" t="s">
        <v>1502</v>
      </c>
    </row>
    <row r="12" spans="1:3" s="453" customFormat="1" ht="15" x14ac:dyDescent="0.2">
      <c r="A12" s="235" t="s">
        <v>1369</v>
      </c>
      <c r="B12" s="392" t="s">
        <v>1503</v>
      </c>
      <c r="C12" s="392" t="s">
        <v>1504</v>
      </c>
    </row>
    <row r="13" spans="1:3" x14ac:dyDescent="0.2">
      <c r="A13" s="235" t="s">
        <v>1252</v>
      </c>
      <c r="B13" s="392" t="s">
        <v>545</v>
      </c>
      <c r="C13" s="392" t="s">
        <v>544</v>
      </c>
    </row>
    <row r="14" spans="1:3" x14ac:dyDescent="0.2">
      <c r="A14" s="235" t="s">
        <v>2</v>
      </c>
      <c r="B14" s="392" t="s">
        <v>507</v>
      </c>
      <c r="C14" s="392" t="s">
        <v>508</v>
      </c>
    </row>
    <row r="15" spans="1:3" x14ac:dyDescent="0.2">
      <c r="A15" s="235" t="s">
        <v>3</v>
      </c>
      <c r="B15" s="392" t="s">
        <v>555</v>
      </c>
      <c r="C15" s="392" t="s">
        <v>556</v>
      </c>
    </row>
    <row r="16" spans="1:3" x14ac:dyDescent="0.2">
      <c r="A16" s="235" t="s">
        <v>1869</v>
      </c>
      <c r="B16" s="392" t="s">
        <v>1870</v>
      </c>
      <c r="C16" s="392" t="s">
        <v>1871</v>
      </c>
    </row>
    <row r="17" spans="1:3" s="452" customFormat="1" x14ac:dyDescent="0.2">
      <c r="A17" s="452" t="s">
        <v>567</v>
      </c>
      <c r="B17" s="452" t="s">
        <v>891</v>
      </c>
      <c r="C17" s="452" t="s">
        <v>568</v>
      </c>
    </row>
    <row r="18" spans="1:3" x14ac:dyDescent="0.2">
      <c r="A18" s="392" t="e">
        <f ca="1">CONCATENATE("Allgemein, CAPEX, Marktpreisindex, ",DropDown!$F$9)</f>
        <v>#N/A</v>
      </c>
      <c r="B18" s="392" t="e">
        <f ca="1">CONCATENATE("Allgemein, CAPEX, Marktpreisindex, ",DropDown!$F$9)</f>
        <v>#N/A</v>
      </c>
      <c r="C18" s="392" t="e">
        <f ca="1">CONCATENATE("Allgemein, CAPEX, Marktpreisindex, ",DropDown!$F$9)</f>
        <v>#N/A</v>
      </c>
    </row>
    <row r="19" spans="1:3" x14ac:dyDescent="0.2">
      <c r="A19" s="391" t="s">
        <v>1236</v>
      </c>
      <c r="B19" s="469" t="s">
        <v>1531</v>
      </c>
      <c r="C19" s="469" t="s">
        <v>1532</v>
      </c>
    </row>
    <row r="20" spans="1:3" x14ac:dyDescent="0.2">
      <c r="A20" s="392" t="s">
        <v>1237</v>
      </c>
      <c r="B20" s="432" t="s">
        <v>1534</v>
      </c>
      <c r="C20" s="432" t="s">
        <v>1533</v>
      </c>
    </row>
    <row r="21" spans="1:3" x14ac:dyDescent="0.2">
      <c r="A21" s="391" t="s">
        <v>1238</v>
      </c>
      <c r="B21" s="469" t="s">
        <v>1535</v>
      </c>
      <c r="C21" s="469" t="s">
        <v>1536</v>
      </c>
    </row>
    <row r="22" spans="1:3" x14ac:dyDescent="0.2">
      <c r="A22" s="392" t="s">
        <v>1755</v>
      </c>
      <c r="B22" s="392" t="s">
        <v>1756</v>
      </c>
      <c r="C22" s="392" t="s">
        <v>1757</v>
      </c>
    </row>
    <row r="23" spans="1:3" ht="78.75" customHeight="1" x14ac:dyDescent="0.2">
      <c r="A23" s="441" t="s">
        <v>1151</v>
      </c>
      <c r="B23" s="441" t="s">
        <v>1152</v>
      </c>
      <c r="C23" s="441" t="s">
        <v>1153</v>
      </c>
    </row>
    <row r="24" spans="1:3" ht="15" customHeight="1" x14ac:dyDescent="0.2">
      <c r="A24" s="701" t="s">
        <v>1891</v>
      </c>
      <c r="B24" s="701" t="s">
        <v>1893</v>
      </c>
      <c r="C24" s="701" t="s">
        <v>1892</v>
      </c>
    </row>
    <row r="25" spans="1:3" ht="15" customHeight="1" x14ac:dyDescent="0.2">
      <c r="A25" s="702" t="s">
        <v>1890</v>
      </c>
      <c r="B25" s="702" t="s">
        <v>777</v>
      </c>
      <c r="C25" s="702" t="s">
        <v>778</v>
      </c>
    </row>
    <row r="26" spans="1:3" ht="15" customHeight="1" x14ac:dyDescent="0.2">
      <c r="A26" s="700" t="s">
        <v>1873</v>
      </c>
      <c r="B26" s="700" t="s">
        <v>1875</v>
      </c>
      <c r="C26" s="700" t="s">
        <v>1872</v>
      </c>
    </row>
    <row r="27" spans="1:3" ht="15" customHeight="1" x14ac:dyDescent="0.2">
      <c r="A27" s="700" t="s">
        <v>1874</v>
      </c>
      <c r="B27" s="700" t="s">
        <v>1876</v>
      </c>
      <c r="C27" s="700" t="s">
        <v>1877</v>
      </c>
    </row>
    <row r="28" spans="1:3" ht="15" customHeight="1" x14ac:dyDescent="0.2">
      <c r="A28" s="700" t="s">
        <v>1885</v>
      </c>
      <c r="B28" s="700" t="s">
        <v>1882</v>
      </c>
      <c r="C28" s="700" t="s">
        <v>1879</v>
      </c>
    </row>
    <row r="29" spans="1:3" ht="13.5" customHeight="1" x14ac:dyDescent="0.2">
      <c r="A29" s="441" t="s">
        <v>1878</v>
      </c>
      <c r="B29" s="441" t="s">
        <v>1883</v>
      </c>
      <c r="C29" s="441" t="s">
        <v>1880</v>
      </c>
    </row>
    <row r="30" spans="1:3" ht="13.5" customHeight="1" x14ac:dyDescent="0.2">
      <c r="A30" s="441" t="s">
        <v>1886</v>
      </c>
      <c r="B30" s="441" t="s">
        <v>1884</v>
      </c>
      <c r="C30" s="441" t="s">
        <v>1881</v>
      </c>
    </row>
    <row r="31" spans="1:3" ht="13.5" customHeight="1" x14ac:dyDescent="0.2">
      <c r="A31" s="441" t="s">
        <v>1887</v>
      </c>
      <c r="B31" s="441" t="s">
        <v>1888</v>
      </c>
      <c r="C31" s="441" t="s">
        <v>1889</v>
      </c>
    </row>
    <row r="32" spans="1:3" ht="15" customHeight="1" x14ac:dyDescent="0.2"/>
    <row r="33" spans="1:3" x14ac:dyDescent="0.2">
      <c r="A33" s="395" t="s">
        <v>830</v>
      </c>
      <c r="B33" s="395" t="s">
        <v>831</v>
      </c>
      <c r="C33" s="395" t="s">
        <v>832</v>
      </c>
    </row>
    <row r="34" spans="1:3" x14ac:dyDescent="0.2">
      <c r="A34" s="464" t="s">
        <v>1370</v>
      </c>
      <c r="B34" s="465" t="s">
        <v>1386</v>
      </c>
      <c r="C34" s="466" t="s">
        <v>1499</v>
      </c>
    </row>
    <row r="35" spans="1:3" x14ac:dyDescent="0.2">
      <c r="A35" s="392" t="s">
        <v>1222</v>
      </c>
      <c r="B35" s="423" t="s">
        <v>1505</v>
      </c>
      <c r="C35" s="17" t="s">
        <v>1221</v>
      </c>
    </row>
    <row r="36" spans="1:3" s="391" customFormat="1" x14ac:dyDescent="0.2">
      <c r="A36" s="391" t="s">
        <v>1239</v>
      </c>
      <c r="B36" s="467" t="s">
        <v>1385</v>
      </c>
      <c r="C36" s="468" t="s">
        <v>1439</v>
      </c>
    </row>
    <row r="37" spans="1:3" x14ac:dyDescent="0.2">
      <c r="A37" s="392" t="s">
        <v>0</v>
      </c>
      <c r="B37" s="423" t="s">
        <v>296</v>
      </c>
      <c r="C37" s="17" t="s">
        <v>297</v>
      </c>
    </row>
    <row r="38" spans="1:3" x14ac:dyDescent="0.2">
      <c r="A38" s="436" t="s">
        <v>1240</v>
      </c>
      <c r="B38" s="423" t="s">
        <v>1387</v>
      </c>
      <c r="C38" s="17" t="s">
        <v>1440</v>
      </c>
    </row>
    <row r="39" spans="1:3" x14ac:dyDescent="0.2">
      <c r="A39" s="436" t="s">
        <v>1787</v>
      </c>
      <c r="B39" s="423" t="s">
        <v>1788</v>
      </c>
      <c r="C39" s="17" t="s">
        <v>1786</v>
      </c>
    </row>
    <row r="40" spans="1:3" x14ac:dyDescent="0.2">
      <c r="A40" s="392" t="s">
        <v>1371</v>
      </c>
      <c r="B40" s="423" t="s">
        <v>1388</v>
      </c>
      <c r="C40" s="17" t="s">
        <v>1441</v>
      </c>
    </row>
    <row r="41" spans="1:3" ht="14.25" x14ac:dyDescent="0.2">
      <c r="A41" s="392" t="s">
        <v>1242</v>
      </c>
      <c r="B41" s="423" t="s">
        <v>1389</v>
      </c>
      <c r="C41" s="17" t="s">
        <v>1442</v>
      </c>
    </row>
    <row r="42" spans="1:3" x14ac:dyDescent="0.2">
      <c r="A42" s="392" t="s">
        <v>1244</v>
      </c>
      <c r="B42" s="423" t="s">
        <v>1390</v>
      </c>
      <c r="C42" s="17" t="s">
        <v>1443</v>
      </c>
    </row>
    <row r="43" spans="1:3" x14ac:dyDescent="0.2">
      <c r="A43" s="392" t="s">
        <v>1372</v>
      </c>
      <c r="B43" s="423" t="s">
        <v>1391</v>
      </c>
      <c r="C43" s="17" t="s">
        <v>1372</v>
      </c>
    </row>
    <row r="44" spans="1:3" ht="14.25" x14ac:dyDescent="0.2">
      <c r="A44" s="392" t="s">
        <v>104</v>
      </c>
      <c r="B44" s="423" t="s">
        <v>1392</v>
      </c>
      <c r="C44" s="17" t="s">
        <v>1444</v>
      </c>
    </row>
    <row r="45" spans="1:3" x14ac:dyDescent="0.2">
      <c r="A45" s="436" t="s">
        <v>1785</v>
      </c>
      <c r="B45" s="423" t="s">
        <v>1789</v>
      </c>
      <c r="C45" s="17" t="s">
        <v>1790</v>
      </c>
    </row>
    <row r="46" spans="1:3" x14ac:dyDescent="0.2">
      <c r="A46" s="392" t="s">
        <v>1373</v>
      </c>
      <c r="B46" s="423" t="s">
        <v>1393</v>
      </c>
      <c r="C46" s="17" t="s">
        <v>1445</v>
      </c>
    </row>
    <row r="47" spans="1:3" x14ac:dyDescent="0.2">
      <c r="A47" s="392" t="s">
        <v>1241</v>
      </c>
      <c r="B47" s="423" t="s">
        <v>1394</v>
      </c>
      <c r="C47" s="17" t="s">
        <v>1446</v>
      </c>
    </row>
    <row r="48" spans="1:3" x14ac:dyDescent="0.2">
      <c r="A48" s="392" t="s">
        <v>1243</v>
      </c>
      <c r="B48" s="423" t="s">
        <v>1395</v>
      </c>
      <c r="C48" s="17" t="s">
        <v>1447</v>
      </c>
    </row>
    <row r="49" spans="1:3" x14ac:dyDescent="0.2">
      <c r="A49" s="392" t="s">
        <v>423</v>
      </c>
      <c r="B49" s="423" t="s">
        <v>424</v>
      </c>
      <c r="C49" s="17" t="s">
        <v>424</v>
      </c>
    </row>
    <row r="50" spans="1:3" x14ac:dyDescent="0.2">
      <c r="A50" s="392" t="s">
        <v>1245</v>
      </c>
      <c r="B50" s="423" t="s">
        <v>1396</v>
      </c>
      <c r="C50" s="392" t="s">
        <v>1450</v>
      </c>
    </row>
    <row r="51" spans="1:3" ht="14.25" x14ac:dyDescent="0.2">
      <c r="A51" s="392" t="s">
        <v>1246</v>
      </c>
      <c r="B51" s="423" t="s">
        <v>1399</v>
      </c>
      <c r="C51" s="17" t="s">
        <v>1448</v>
      </c>
    </row>
    <row r="52" spans="1:3" x14ac:dyDescent="0.2">
      <c r="A52" s="392" t="s">
        <v>1374</v>
      </c>
      <c r="B52" s="423" t="s">
        <v>1397</v>
      </c>
      <c r="C52" s="17" t="s">
        <v>1449</v>
      </c>
    </row>
    <row r="53" spans="1:3" x14ac:dyDescent="0.2">
      <c r="A53" s="392" t="s">
        <v>1375</v>
      </c>
      <c r="B53" s="423" t="s">
        <v>1398</v>
      </c>
      <c r="C53" s="17" t="s">
        <v>1451</v>
      </c>
    </row>
    <row r="54" spans="1:3" x14ac:dyDescent="0.2">
      <c r="A54" s="392" t="s">
        <v>1247</v>
      </c>
      <c r="B54" s="423" t="s">
        <v>1400</v>
      </c>
      <c r="C54" s="17" t="s">
        <v>1452</v>
      </c>
    </row>
    <row r="55" spans="1:3" x14ac:dyDescent="0.2">
      <c r="A55" s="392" t="s">
        <v>1248</v>
      </c>
      <c r="B55" s="423" t="s">
        <v>1401</v>
      </c>
      <c r="C55" s="17" t="s">
        <v>1453</v>
      </c>
    </row>
    <row r="56" spans="1:3" x14ac:dyDescent="0.2">
      <c r="A56" s="392" t="s">
        <v>1249</v>
      </c>
      <c r="B56" s="392" t="s">
        <v>1538</v>
      </c>
      <c r="C56" s="392" t="s">
        <v>1537</v>
      </c>
    </row>
    <row r="57" spans="1:3" x14ac:dyDescent="0.2">
      <c r="A57" s="392" t="s">
        <v>1250</v>
      </c>
      <c r="B57" s="423" t="s">
        <v>1402</v>
      </c>
      <c r="C57" s="484" t="s">
        <v>1454</v>
      </c>
    </row>
    <row r="58" spans="1:3" x14ac:dyDescent="0.2">
      <c r="A58" s="392" t="s">
        <v>1251</v>
      </c>
      <c r="B58" s="423" t="s">
        <v>1403</v>
      </c>
      <c r="C58" s="17" t="s">
        <v>1791</v>
      </c>
    </row>
    <row r="59" spans="1:3" x14ac:dyDescent="0.2">
      <c r="A59" s="392" t="s">
        <v>1805</v>
      </c>
      <c r="B59" s="423" t="s">
        <v>1806</v>
      </c>
      <c r="C59" s="17" t="s">
        <v>1807</v>
      </c>
    </row>
    <row r="60" spans="1:3" s="391" customFormat="1" x14ac:dyDescent="0.2">
      <c r="A60" s="391" t="s">
        <v>1253</v>
      </c>
      <c r="B60" s="467" t="s">
        <v>1404</v>
      </c>
      <c r="C60" s="468" t="s">
        <v>1455</v>
      </c>
    </row>
    <row r="61" spans="1:3" s="391" customFormat="1" ht="38.25" x14ac:dyDescent="0.2">
      <c r="A61" s="693" t="s">
        <v>1844</v>
      </c>
      <c r="B61" s="691" t="s">
        <v>1850</v>
      </c>
      <c r="C61" s="17" t="s">
        <v>1849</v>
      </c>
    </row>
    <row r="62" spans="1:3" ht="14.25" customHeight="1" x14ac:dyDescent="0.2">
      <c r="A62" s="392" t="s">
        <v>1254</v>
      </c>
      <c r="B62" s="423" t="s">
        <v>1457</v>
      </c>
      <c r="C62" s="17" t="s">
        <v>1456</v>
      </c>
    </row>
    <row r="63" spans="1:3" ht="52.5" customHeight="1" x14ac:dyDescent="0.2">
      <c r="A63" s="439" t="s">
        <v>1840</v>
      </c>
      <c r="B63" s="440" t="s">
        <v>1845</v>
      </c>
      <c r="C63" s="17" t="s">
        <v>1851</v>
      </c>
    </row>
    <row r="64" spans="1:3" s="391" customFormat="1" x14ac:dyDescent="0.2">
      <c r="A64" s="391" t="s">
        <v>1256</v>
      </c>
      <c r="B64" s="467" t="s">
        <v>1543</v>
      </c>
      <c r="C64" s="468" t="s">
        <v>1542</v>
      </c>
    </row>
    <row r="65" spans="1:3" s="391" customFormat="1" ht="27" customHeight="1" x14ac:dyDescent="0.2">
      <c r="A65" s="692" t="s">
        <v>1841</v>
      </c>
      <c r="B65" t="s">
        <v>1846</v>
      </c>
      <c r="C65" s="692" t="s">
        <v>1852</v>
      </c>
    </row>
    <row r="66" spans="1:3" x14ac:dyDescent="0.2">
      <c r="A66" s="392" t="s">
        <v>1257</v>
      </c>
      <c r="B66" s="423" t="s">
        <v>1544</v>
      </c>
      <c r="C66" s="17" t="s">
        <v>1437</v>
      </c>
    </row>
    <row r="67" spans="1:3" x14ac:dyDescent="0.2">
      <c r="A67" s="392" t="s">
        <v>1376</v>
      </c>
      <c r="B67" s="423" t="s">
        <v>1405</v>
      </c>
      <c r="C67" s="17" t="s">
        <v>1458</v>
      </c>
    </row>
    <row r="68" spans="1:3" x14ac:dyDescent="0.2">
      <c r="A68" s="392" t="s">
        <v>1258</v>
      </c>
      <c r="B68" s="423" t="s">
        <v>1794</v>
      </c>
      <c r="C68" s="17" t="s">
        <v>1459</v>
      </c>
    </row>
    <row r="69" spans="1:3" x14ac:dyDescent="0.2">
      <c r="A69" s="392" t="s">
        <v>1259</v>
      </c>
      <c r="B69" s="423" t="s">
        <v>1406</v>
      </c>
      <c r="C69" s="17" t="s">
        <v>1460</v>
      </c>
    </row>
    <row r="70" spans="1:3" x14ac:dyDescent="0.2">
      <c r="A70" s="392" t="s">
        <v>1782</v>
      </c>
      <c r="B70" s="423" t="s">
        <v>1783</v>
      </c>
      <c r="C70" s="17" t="s">
        <v>1784</v>
      </c>
    </row>
    <row r="71" spans="1:3" x14ac:dyDescent="0.2">
      <c r="A71" s="392" t="s">
        <v>1377</v>
      </c>
      <c r="B71" s="423" t="s">
        <v>1407</v>
      </c>
      <c r="C71" s="17" t="s">
        <v>1461</v>
      </c>
    </row>
    <row r="72" spans="1:3" x14ac:dyDescent="0.2">
      <c r="A72" s="392" t="s">
        <v>106</v>
      </c>
      <c r="B72" s="422" t="s">
        <v>901</v>
      </c>
      <c r="C72" s="392" t="s">
        <v>818</v>
      </c>
    </row>
    <row r="73" spans="1:3" x14ac:dyDescent="0.2">
      <c r="A73" s="392" t="s">
        <v>107</v>
      </c>
      <c r="B73" s="422" t="s">
        <v>902</v>
      </c>
      <c r="C73" s="392" t="s">
        <v>817</v>
      </c>
    </row>
    <row r="74" spans="1:3" s="391" customFormat="1" x14ac:dyDescent="0.2">
      <c r="A74" s="391" t="s">
        <v>1260</v>
      </c>
      <c r="B74" s="467" t="s">
        <v>1408</v>
      </c>
      <c r="C74" s="468" t="s">
        <v>1462</v>
      </c>
    </row>
    <row r="75" spans="1:3" s="391" customFormat="1" ht="76.5" x14ac:dyDescent="0.2">
      <c r="A75" s="320" t="s">
        <v>1862</v>
      </c>
      <c r="B75" s="267" t="s">
        <v>1864</v>
      </c>
      <c r="C75" s="439" t="s">
        <v>1863</v>
      </c>
    </row>
    <row r="76" spans="1:3" s="391" customFormat="1" x14ac:dyDescent="0.2">
      <c r="A76" s="267" t="s">
        <v>1856</v>
      </c>
      <c r="B76" s="692" t="s">
        <v>1857</v>
      </c>
      <c r="C76" s="440" t="s">
        <v>1858</v>
      </c>
    </row>
    <row r="77" spans="1:3" x14ac:dyDescent="0.2">
      <c r="A77" s="392" t="s">
        <v>1261</v>
      </c>
      <c r="B77" s="423" t="s">
        <v>1409</v>
      </c>
      <c r="C77" s="17" t="s">
        <v>1463</v>
      </c>
    </row>
    <row r="78" spans="1:3" x14ac:dyDescent="0.2">
      <c r="A78" s="436" t="s">
        <v>1900</v>
      </c>
      <c r="B78" s="423" t="s">
        <v>1550</v>
      </c>
      <c r="C78" s="17" t="s">
        <v>1464</v>
      </c>
    </row>
    <row r="79" spans="1:3" x14ac:dyDescent="0.2">
      <c r="A79" s="392" t="s">
        <v>1263</v>
      </c>
      <c r="B79" s="423" t="s">
        <v>1410</v>
      </c>
      <c r="C79" s="17" t="s">
        <v>1551</v>
      </c>
    </row>
    <row r="80" spans="1:3" s="391" customFormat="1" x14ac:dyDescent="0.2">
      <c r="A80" s="391" t="s">
        <v>1264</v>
      </c>
      <c r="B80" s="467" t="s">
        <v>1411</v>
      </c>
      <c r="C80" s="468" t="s">
        <v>1465</v>
      </c>
    </row>
    <row r="81" spans="1:3" x14ac:dyDescent="0.2">
      <c r="A81" s="392" t="s">
        <v>1586</v>
      </c>
      <c r="B81" s="423" t="s">
        <v>1587</v>
      </c>
      <c r="C81" s="17" t="s">
        <v>1588</v>
      </c>
    </row>
    <row r="82" spans="1:3" ht="25.5" x14ac:dyDescent="0.2">
      <c r="A82" s="421" t="s">
        <v>1842</v>
      </c>
      <c r="B82" s="423" t="s">
        <v>1847</v>
      </c>
      <c r="C82" s="17"/>
    </row>
    <row r="83" spans="1:3" x14ac:dyDescent="0.2">
      <c r="A83" s="392" t="s">
        <v>1265</v>
      </c>
      <c r="B83" s="423" t="s">
        <v>1412</v>
      </c>
      <c r="C83" s="17" t="s">
        <v>1466</v>
      </c>
    </row>
    <row r="84" spans="1:3" x14ac:dyDescent="0.2">
      <c r="A84" s="392" t="s">
        <v>1267</v>
      </c>
      <c r="B84" s="423" t="s">
        <v>1413</v>
      </c>
      <c r="C84" s="17" t="s">
        <v>1467</v>
      </c>
    </row>
    <row r="85" spans="1:3" x14ac:dyDescent="0.2">
      <c r="A85" s="392" t="s">
        <v>1268</v>
      </c>
      <c r="B85" s="423" t="s">
        <v>1414</v>
      </c>
      <c r="C85" s="17" t="s">
        <v>1468</v>
      </c>
    </row>
    <row r="86" spans="1:3" x14ac:dyDescent="0.2">
      <c r="A86" s="392" t="s">
        <v>1266</v>
      </c>
      <c r="B86" s="423" t="s">
        <v>1539</v>
      </c>
      <c r="C86" s="17" t="s">
        <v>1545</v>
      </c>
    </row>
    <row r="87" spans="1:3" s="391" customFormat="1" x14ac:dyDescent="0.2">
      <c r="A87" s="391" t="s">
        <v>1378</v>
      </c>
      <c r="B87" s="467" t="s">
        <v>1769</v>
      </c>
      <c r="C87" s="468" t="s">
        <v>1469</v>
      </c>
    </row>
    <row r="88" spans="1:3" s="391" customFormat="1" ht="38.25" x14ac:dyDescent="0.2">
      <c r="A88" s="692" t="s">
        <v>1859</v>
      </c>
      <c r="B88" s="692" t="s">
        <v>1860</v>
      </c>
      <c r="C88" s="17" t="s">
        <v>1861</v>
      </c>
    </row>
    <row r="89" spans="1:3" s="391" customFormat="1" x14ac:dyDescent="0.2">
      <c r="A89" s="392" t="s">
        <v>1829</v>
      </c>
      <c r="B89" s="423" t="s">
        <v>1830</v>
      </c>
      <c r="C89" s="17" t="s">
        <v>1831</v>
      </c>
    </row>
    <row r="90" spans="1:3" x14ac:dyDescent="0.2">
      <c r="A90" s="392" t="s">
        <v>1269</v>
      </c>
      <c r="B90" s="423" t="s">
        <v>1415</v>
      </c>
      <c r="C90" s="17" t="s">
        <v>1470</v>
      </c>
    </row>
    <row r="91" spans="1:3" x14ac:dyDescent="0.2">
      <c r="A91" s="392" t="s">
        <v>1270</v>
      </c>
      <c r="B91" s="423" t="s">
        <v>1416</v>
      </c>
      <c r="C91" s="17" t="s">
        <v>1471</v>
      </c>
    </row>
    <row r="92" spans="1:3" x14ac:dyDescent="0.2">
      <c r="A92" s="392" t="s">
        <v>1271</v>
      </c>
      <c r="B92" s="423" t="s">
        <v>1417</v>
      </c>
      <c r="C92" s="17" t="s">
        <v>1472</v>
      </c>
    </row>
    <row r="93" spans="1:3" x14ac:dyDescent="0.2">
      <c r="A93" s="392" t="s">
        <v>1272</v>
      </c>
      <c r="B93" s="423" t="s">
        <v>1418</v>
      </c>
      <c r="C93" s="17" t="s">
        <v>1473</v>
      </c>
    </row>
    <row r="94" spans="1:3" x14ac:dyDescent="0.2">
      <c r="A94" s="392" t="s">
        <v>1273</v>
      </c>
      <c r="B94" s="423" t="s">
        <v>1419</v>
      </c>
      <c r="C94" s="17" t="s">
        <v>1474</v>
      </c>
    </row>
    <row r="95" spans="1:3" s="391" customFormat="1" x14ac:dyDescent="0.2">
      <c r="A95" s="391" t="s">
        <v>1274</v>
      </c>
      <c r="B95" s="467" t="s">
        <v>1420</v>
      </c>
      <c r="C95" s="468" t="s">
        <v>1475</v>
      </c>
    </row>
    <row r="96" spans="1:3" ht="12" customHeight="1" x14ac:dyDescent="0.2">
      <c r="A96" s="392" t="s">
        <v>1758</v>
      </c>
      <c r="B96" s="392" t="s">
        <v>1759</v>
      </c>
      <c r="C96" s="392" t="s">
        <v>1760</v>
      </c>
    </row>
    <row r="97" spans="1:3" ht="27.75" customHeight="1" x14ac:dyDescent="0.2">
      <c r="A97" s="421" t="s">
        <v>1843</v>
      </c>
      <c r="B97" s="692" t="s">
        <v>1848</v>
      </c>
      <c r="C97" s="440" t="s">
        <v>1853</v>
      </c>
    </row>
    <row r="98" spans="1:3" s="391" customFormat="1" x14ac:dyDescent="0.2">
      <c r="A98" s="391" t="s">
        <v>1275</v>
      </c>
      <c r="B98" s="467" t="s">
        <v>1421</v>
      </c>
      <c r="C98" s="468" t="s">
        <v>1476</v>
      </c>
    </row>
    <row r="99" spans="1:3" s="391" customFormat="1" x14ac:dyDescent="0.2">
      <c r="A99" s="392" t="s">
        <v>1277</v>
      </c>
      <c r="B99" s="423" t="s">
        <v>1497</v>
      </c>
      <c r="C99" s="17" t="s">
        <v>1498</v>
      </c>
    </row>
    <row r="100" spans="1:3" ht="25.5" x14ac:dyDescent="0.2">
      <c r="A100" s="421" t="s">
        <v>1276</v>
      </c>
      <c r="B100" s="423" t="s">
        <v>1562</v>
      </c>
      <c r="C100" s="17" t="s">
        <v>1477</v>
      </c>
    </row>
    <row r="101" spans="1:3" ht="25.5" x14ac:dyDescent="0.2">
      <c r="A101" s="692" t="s">
        <v>1865</v>
      </c>
      <c r="B101" s="692" t="s">
        <v>1854</v>
      </c>
      <c r="C101" s="692" t="s">
        <v>1855</v>
      </c>
    </row>
    <row r="102" spans="1:3" s="391" customFormat="1" x14ac:dyDescent="0.2">
      <c r="A102" s="391" t="s">
        <v>1773</v>
      </c>
      <c r="B102" s="467" t="s">
        <v>1774</v>
      </c>
      <c r="C102" s="468" t="s">
        <v>1775</v>
      </c>
    </row>
    <row r="103" spans="1:3" s="391" customFormat="1" x14ac:dyDescent="0.2">
      <c r="A103" s="392" t="s">
        <v>1777</v>
      </c>
      <c r="B103" s="422" t="s">
        <v>1776</v>
      </c>
      <c r="C103" s="392" t="s">
        <v>1780</v>
      </c>
    </row>
    <row r="104" spans="1:3" x14ac:dyDescent="0.2">
      <c r="A104" s="392" t="s">
        <v>1952</v>
      </c>
      <c r="B104" s="423" t="s">
        <v>1953</v>
      </c>
      <c r="C104" s="17" t="s">
        <v>1954</v>
      </c>
    </row>
    <row r="105" spans="1:3" s="391" customFormat="1" x14ac:dyDescent="0.2">
      <c r="A105" s="391" t="s">
        <v>1281</v>
      </c>
      <c r="B105" s="467" t="s">
        <v>1422</v>
      </c>
      <c r="C105" s="468" t="s">
        <v>1479</v>
      </c>
    </row>
    <row r="106" spans="1:3" x14ac:dyDescent="0.2">
      <c r="A106" s="392" t="s">
        <v>1770</v>
      </c>
      <c r="B106" s="423" t="s">
        <v>1771</v>
      </c>
      <c r="C106" s="17" t="s">
        <v>1772</v>
      </c>
    </row>
    <row r="107" spans="1:3" ht="64.5" customHeight="1" x14ac:dyDescent="0.2">
      <c r="A107" s="693" t="s">
        <v>1866</v>
      </c>
      <c r="B107" s="691" t="s">
        <v>1867</v>
      </c>
      <c r="C107" s="699" t="s">
        <v>1868</v>
      </c>
    </row>
    <row r="108" spans="1:3" x14ac:dyDescent="0.2">
      <c r="A108" s="392" t="s">
        <v>1279</v>
      </c>
      <c r="B108" s="423" t="s">
        <v>1541</v>
      </c>
      <c r="C108" s="17" t="s">
        <v>1478</v>
      </c>
    </row>
    <row r="109" spans="1:3" x14ac:dyDescent="0.2">
      <c r="A109" s="392" t="s">
        <v>1283</v>
      </c>
      <c r="B109" s="423" t="s">
        <v>1540</v>
      </c>
      <c r="C109" s="17" t="s">
        <v>1546</v>
      </c>
    </row>
    <row r="110" spans="1:3" x14ac:dyDescent="0.2">
      <c r="A110" s="392" t="s">
        <v>1280</v>
      </c>
      <c r="B110" s="423" t="s">
        <v>1539</v>
      </c>
      <c r="C110" s="17" t="s">
        <v>1545</v>
      </c>
    </row>
    <row r="111" spans="1:3" x14ac:dyDescent="0.2">
      <c r="A111" s="392" t="s">
        <v>1282</v>
      </c>
      <c r="B111" s="423" t="s">
        <v>1552</v>
      </c>
      <c r="C111" s="17" t="s">
        <v>1553</v>
      </c>
    </row>
    <row r="112" spans="1:3" s="391" customFormat="1" x14ac:dyDescent="0.2">
      <c r="A112" s="436" t="s">
        <v>1820</v>
      </c>
      <c r="B112" s="423" t="s">
        <v>1821</v>
      </c>
      <c r="C112" s="17" t="s">
        <v>1822</v>
      </c>
    </row>
    <row r="113" spans="1:3" x14ac:dyDescent="0.2">
      <c r="A113" s="392" t="s">
        <v>1778</v>
      </c>
      <c r="B113" s="423" t="s">
        <v>1779</v>
      </c>
      <c r="C113" s="17" t="s">
        <v>1781</v>
      </c>
    </row>
    <row r="114" spans="1:3" x14ac:dyDescent="0.2">
      <c r="A114" s="392" t="s">
        <v>1284</v>
      </c>
      <c r="B114" s="423" t="s">
        <v>1555</v>
      </c>
      <c r="C114" s="17" t="s">
        <v>1554</v>
      </c>
    </row>
    <row r="115" spans="1:3" ht="25.5" x14ac:dyDescent="0.2">
      <c r="A115" s="441" t="s">
        <v>1894</v>
      </c>
      <c r="B115" s="423" t="s">
        <v>1895</v>
      </c>
      <c r="C115" s="17" t="s">
        <v>1896</v>
      </c>
    </row>
    <row r="116" spans="1:3" x14ac:dyDescent="0.2">
      <c r="A116" s="436" t="s">
        <v>1897</v>
      </c>
      <c r="B116" s="423" t="s">
        <v>1898</v>
      </c>
      <c r="C116" s="17" t="s">
        <v>1899</v>
      </c>
    </row>
    <row r="117" spans="1:3" s="391" customFormat="1" x14ac:dyDescent="0.2">
      <c r="A117" s="391" t="s">
        <v>1285</v>
      </c>
      <c r="B117" s="467" t="s">
        <v>1556</v>
      </c>
      <c r="C117" s="468" t="s">
        <v>1557</v>
      </c>
    </row>
    <row r="118" spans="1:3" x14ac:dyDescent="0.2">
      <c r="A118" s="392" t="s">
        <v>1379</v>
      </c>
      <c r="B118" s="423" t="s">
        <v>1559</v>
      </c>
      <c r="C118" s="17" t="s">
        <v>1558</v>
      </c>
    </row>
    <row r="119" spans="1:3" x14ac:dyDescent="0.2">
      <c r="A119" s="392" t="s">
        <v>1286</v>
      </c>
      <c r="B119" s="423" t="s">
        <v>1423</v>
      </c>
      <c r="C119" s="17" t="s">
        <v>1480</v>
      </c>
    </row>
    <row r="120" spans="1:3" x14ac:dyDescent="0.2">
      <c r="A120" s="392" t="s">
        <v>1287</v>
      </c>
      <c r="B120" s="423" t="s">
        <v>1424</v>
      </c>
      <c r="C120" s="17" t="s">
        <v>1481</v>
      </c>
    </row>
    <row r="121" spans="1:3" x14ac:dyDescent="0.2">
      <c r="A121" s="392" t="s">
        <v>1288</v>
      </c>
      <c r="B121" s="423" t="s">
        <v>1560</v>
      </c>
      <c r="C121" s="17" t="s">
        <v>1561</v>
      </c>
    </row>
    <row r="122" spans="1:3" x14ac:dyDescent="0.2">
      <c r="A122" s="436" t="s">
        <v>1823</v>
      </c>
      <c r="B122" s="423" t="s">
        <v>1824</v>
      </c>
      <c r="C122" s="17" t="s">
        <v>1825</v>
      </c>
    </row>
    <row r="123" spans="1:3" x14ac:dyDescent="0.2">
      <c r="A123" s="436" t="s">
        <v>1301</v>
      </c>
      <c r="B123" s="423" t="s">
        <v>1563</v>
      </c>
      <c r="C123" s="17" t="s">
        <v>1564</v>
      </c>
    </row>
    <row r="124" spans="1:3" ht="25.5" x14ac:dyDescent="0.2">
      <c r="A124" s="392" t="s">
        <v>1289</v>
      </c>
      <c r="B124" s="423" t="s">
        <v>1425</v>
      </c>
      <c r="C124" s="17" t="s">
        <v>1482</v>
      </c>
    </row>
    <row r="125" spans="1:3" x14ac:dyDescent="0.2">
      <c r="A125" s="392" t="s">
        <v>1290</v>
      </c>
      <c r="B125" s="423" t="s">
        <v>1762</v>
      </c>
      <c r="C125" s="17" t="s">
        <v>1483</v>
      </c>
    </row>
    <row r="126" spans="1:3" x14ac:dyDescent="0.2">
      <c r="A126" s="392" t="s">
        <v>1291</v>
      </c>
      <c r="B126" s="423" t="s">
        <v>1426</v>
      </c>
      <c r="C126" s="17" t="s">
        <v>1484</v>
      </c>
    </row>
    <row r="127" spans="1:3" x14ac:dyDescent="0.2">
      <c r="A127" s="392" t="s">
        <v>1292</v>
      </c>
      <c r="B127" s="423" t="s">
        <v>1427</v>
      </c>
      <c r="C127" s="17" t="s">
        <v>1485</v>
      </c>
    </row>
    <row r="128" spans="1:3" x14ac:dyDescent="0.2">
      <c r="A128" s="392" t="s">
        <v>1293</v>
      </c>
      <c r="B128" s="423" t="s">
        <v>1547</v>
      </c>
      <c r="C128" s="17" t="s">
        <v>1565</v>
      </c>
    </row>
    <row r="129" spans="1:3" x14ac:dyDescent="0.2">
      <c r="A129" s="392" t="s">
        <v>1380</v>
      </c>
      <c r="B129" s="423" t="s">
        <v>1548</v>
      </c>
      <c r="C129" s="17" t="s">
        <v>1549</v>
      </c>
    </row>
    <row r="130" spans="1:3" x14ac:dyDescent="0.2">
      <c r="A130" s="392" t="s">
        <v>1381</v>
      </c>
      <c r="B130" s="423" t="s">
        <v>1428</v>
      </c>
      <c r="C130" s="17" t="s">
        <v>1486</v>
      </c>
    </row>
    <row r="131" spans="1:3" x14ac:dyDescent="0.2">
      <c r="A131" s="392" t="s">
        <v>1294</v>
      </c>
      <c r="B131" s="423" t="s">
        <v>1429</v>
      </c>
      <c r="C131" s="17" t="s">
        <v>1487</v>
      </c>
    </row>
    <row r="132" spans="1:3" x14ac:dyDescent="0.2">
      <c r="A132" s="392" t="s">
        <v>1295</v>
      </c>
      <c r="B132" s="423" t="s">
        <v>1430</v>
      </c>
      <c r="C132" s="17" t="s">
        <v>1488</v>
      </c>
    </row>
    <row r="133" spans="1:3" x14ac:dyDescent="0.2">
      <c r="A133" s="392" t="s">
        <v>1567</v>
      </c>
      <c r="B133" s="423" t="s">
        <v>1431</v>
      </c>
      <c r="C133" s="17" t="s">
        <v>1489</v>
      </c>
    </row>
    <row r="134" spans="1:3" x14ac:dyDescent="0.2">
      <c r="A134" s="392" t="s">
        <v>1296</v>
      </c>
      <c r="B134" s="423" t="s">
        <v>1432</v>
      </c>
      <c r="C134" s="17" t="s">
        <v>1490</v>
      </c>
    </row>
    <row r="135" spans="1:3" x14ac:dyDescent="0.2">
      <c r="A135" s="392" t="s">
        <v>1382</v>
      </c>
      <c r="B135" s="423" t="s">
        <v>1433</v>
      </c>
      <c r="C135" s="17" t="s">
        <v>1491</v>
      </c>
    </row>
    <row r="136" spans="1:3" x14ac:dyDescent="0.2">
      <c r="A136" s="392" t="s">
        <v>1383</v>
      </c>
      <c r="B136" s="423" t="s">
        <v>1947</v>
      </c>
      <c r="C136" s="17" t="s">
        <v>1492</v>
      </c>
    </row>
    <row r="137" spans="1:3" x14ac:dyDescent="0.2">
      <c r="A137" s="392" t="s">
        <v>1384</v>
      </c>
      <c r="B137" s="423" t="s">
        <v>1434</v>
      </c>
      <c r="C137" s="17" t="s">
        <v>1493</v>
      </c>
    </row>
    <row r="138" spans="1:3" s="391" customFormat="1" x14ac:dyDescent="0.2">
      <c r="A138" s="391" t="s">
        <v>1297</v>
      </c>
      <c r="B138" s="467" t="s">
        <v>1435</v>
      </c>
      <c r="C138" s="468" t="s">
        <v>1300</v>
      </c>
    </row>
    <row r="139" spans="1:3" ht="38.25" customHeight="1" x14ac:dyDescent="0.2">
      <c r="A139" s="441" t="s">
        <v>1835</v>
      </c>
      <c r="B139" s="694" t="s">
        <v>1836</v>
      </c>
      <c r="C139" s="695" t="s">
        <v>1837</v>
      </c>
    </row>
    <row r="140" spans="1:3" ht="51" x14ac:dyDescent="0.2">
      <c r="A140" s="441" t="s">
        <v>1832</v>
      </c>
      <c r="B140" s="423" t="s">
        <v>1833</v>
      </c>
      <c r="C140" s="17" t="s">
        <v>1834</v>
      </c>
    </row>
    <row r="141" spans="1:3" ht="28.5" customHeight="1" x14ac:dyDescent="0.2">
      <c r="A141" s="441" t="s">
        <v>1942</v>
      </c>
      <c r="B141" s="423" t="s">
        <v>1943</v>
      </c>
      <c r="C141" s="17" t="s">
        <v>1944</v>
      </c>
    </row>
    <row r="142" spans="1:3" ht="66" customHeight="1" x14ac:dyDescent="0.2">
      <c r="A142" s="421" t="s">
        <v>1930</v>
      </c>
      <c r="B142" s="423" t="s">
        <v>1931</v>
      </c>
      <c r="C142" s="17" t="s">
        <v>1932</v>
      </c>
    </row>
    <row r="143" spans="1:3" ht="12.75" customHeight="1" x14ac:dyDescent="0.2">
      <c r="A143" s="392" t="s">
        <v>1298</v>
      </c>
      <c r="B143" s="423" t="s">
        <v>1436</v>
      </c>
      <c r="C143" s="17" t="s">
        <v>1494</v>
      </c>
    </row>
    <row r="144" spans="1:3" ht="12.75" customHeight="1" x14ac:dyDescent="0.2">
      <c r="A144" s="392" t="s">
        <v>1299</v>
      </c>
      <c r="B144" s="423" t="s">
        <v>1437</v>
      </c>
      <c r="C144" s="17" t="s">
        <v>1495</v>
      </c>
    </row>
    <row r="145" spans="1:3" x14ac:dyDescent="0.2">
      <c r="A145" s="392" t="s">
        <v>1300</v>
      </c>
      <c r="B145" s="423" t="s">
        <v>1438</v>
      </c>
      <c r="C145" s="17" t="s">
        <v>1496</v>
      </c>
    </row>
    <row r="146" spans="1:3" x14ac:dyDescent="0.2">
      <c r="A146" s="392" t="s">
        <v>1297</v>
      </c>
      <c r="B146" s="423" t="s">
        <v>1435</v>
      </c>
      <c r="C146" s="17" t="s">
        <v>1300</v>
      </c>
    </row>
    <row r="147" spans="1:3" x14ac:dyDescent="0.2">
      <c r="A147" s="473" t="s">
        <v>1812</v>
      </c>
      <c r="B147" s="473" t="s">
        <v>1813</v>
      </c>
      <c r="C147" s="473" t="s">
        <v>1811</v>
      </c>
    </row>
    <row r="148" spans="1:3" x14ac:dyDescent="0.2">
      <c r="A148" s="436" t="s">
        <v>1903</v>
      </c>
      <c r="B148" s="436" t="s">
        <v>1901</v>
      </c>
      <c r="C148" s="436" t="s">
        <v>1902</v>
      </c>
    </row>
    <row r="149" spans="1:3" x14ac:dyDescent="0.2">
      <c r="A149" s="392" t="s">
        <v>1808</v>
      </c>
      <c r="B149" s="392" t="s">
        <v>1809</v>
      </c>
      <c r="C149" s="392" t="s">
        <v>1810</v>
      </c>
    </row>
    <row r="150" spans="1:3" x14ac:dyDescent="0.2">
      <c r="A150" s="392" t="s">
        <v>1589</v>
      </c>
      <c r="B150" s="392" t="s">
        <v>1600</v>
      </c>
      <c r="C150" s="392" t="s">
        <v>1612</v>
      </c>
    </row>
    <row r="151" spans="1:3" x14ac:dyDescent="0.2">
      <c r="A151" s="392" t="s">
        <v>1814</v>
      </c>
      <c r="B151" s="392" t="s">
        <v>1815</v>
      </c>
      <c r="C151" s="392" t="s">
        <v>1818</v>
      </c>
    </row>
    <row r="152" spans="1:3" x14ac:dyDescent="0.2">
      <c r="A152" s="392" t="s">
        <v>1816</v>
      </c>
      <c r="B152" s="392" t="s">
        <v>1817</v>
      </c>
      <c r="C152" s="392" t="s">
        <v>1819</v>
      </c>
    </row>
    <row r="153" spans="1:3" x14ac:dyDescent="0.2">
      <c r="A153" s="392" t="s">
        <v>1590</v>
      </c>
      <c r="B153" s="392" t="s">
        <v>1601</v>
      </c>
      <c r="C153" s="392" t="s">
        <v>1613</v>
      </c>
    </row>
    <row r="154" spans="1:3" x14ac:dyDescent="0.2">
      <c r="A154" s="392" t="s">
        <v>1591</v>
      </c>
      <c r="B154" s="392" t="s">
        <v>1602</v>
      </c>
      <c r="C154" s="392" t="s">
        <v>1614</v>
      </c>
    </row>
    <row r="155" spans="1:3" x14ac:dyDescent="0.2">
      <c r="A155" s="392" t="s">
        <v>1625</v>
      </c>
      <c r="B155" s="392" t="s">
        <v>1624</v>
      </c>
      <c r="C155" s="392" t="s">
        <v>1626</v>
      </c>
    </row>
    <row r="156" spans="1:3" x14ac:dyDescent="0.2">
      <c r="A156" s="392" t="s">
        <v>1592</v>
      </c>
      <c r="B156" s="392" t="s">
        <v>1603</v>
      </c>
      <c r="C156" s="392" t="s">
        <v>1615</v>
      </c>
    </row>
    <row r="157" spans="1:3" x14ac:dyDescent="0.2">
      <c r="A157" s="392" t="s">
        <v>1593</v>
      </c>
      <c r="B157" s="392" t="s">
        <v>1604</v>
      </c>
      <c r="C157" s="392" t="s">
        <v>1616</v>
      </c>
    </row>
    <row r="158" spans="1:3" ht="30" customHeight="1" x14ac:dyDescent="0.2">
      <c r="A158" s="421" t="s">
        <v>1594</v>
      </c>
      <c r="B158" s="421" t="s">
        <v>1605</v>
      </c>
      <c r="C158" s="421" t="s">
        <v>1617</v>
      </c>
    </row>
    <row r="159" spans="1:3" x14ac:dyDescent="0.2">
      <c r="A159" s="392" t="s">
        <v>1595</v>
      </c>
      <c r="B159" s="392" t="s">
        <v>1606</v>
      </c>
      <c r="C159" s="392" t="s">
        <v>1618</v>
      </c>
    </row>
    <row r="160" spans="1:3" x14ac:dyDescent="0.2">
      <c r="A160" s="392" t="s">
        <v>1596</v>
      </c>
      <c r="B160" s="392" t="s">
        <v>1607</v>
      </c>
      <c r="C160" s="392" t="s">
        <v>1619</v>
      </c>
    </row>
    <row r="161" spans="1:3" x14ac:dyDescent="0.2">
      <c r="A161" s="392" t="s">
        <v>1597</v>
      </c>
      <c r="B161" s="392" t="s">
        <v>1608</v>
      </c>
      <c r="C161" s="392" t="s">
        <v>1620</v>
      </c>
    </row>
    <row r="162" spans="1:3" x14ac:dyDescent="0.2">
      <c r="A162" s="392" t="s">
        <v>1598</v>
      </c>
      <c r="B162" s="392" t="s">
        <v>1609</v>
      </c>
      <c r="C162" s="392" t="s">
        <v>1621</v>
      </c>
    </row>
    <row r="163" spans="1:3" x14ac:dyDescent="0.2">
      <c r="A163" s="392" t="s">
        <v>1627</v>
      </c>
      <c r="B163" s="392" t="s">
        <v>1628</v>
      </c>
      <c r="C163" s="392" t="s">
        <v>1629</v>
      </c>
    </row>
    <row r="164" spans="1:3" x14ac:dyDescent="0.2">
      <c r="A164" s="392" t="s">
        <v>1307</v>
      </c>
      <c r="B164" s="392" t="s">
        <v>1610</v>
      </c>
      <c r="C164" s="392" t="s">
        <v>1622</v>
      </c>
    </row>
    <row r="165" spans="1:3" x14ac:dyDescent="0.2">
      <c r="A165" s="392" t="s">
        <v>1599</v>
      </c>
      <c r="B165" s="392" t="s">
        <v>1611</v>
      </c>
      <c r="C165" s="392" t="s">
        <v>1623</v>
      </c>
    </row>
    <row r="166" spans="1:3" x14ac:dyDescent="0.2">
      <c r="A166" s="473" t="s">
        <v>1308</v>
      </c>
      <c r="B166" s="474" t="s">
        <v>1579</v>
      </c>
      <c r="C166" s="475" t="s">
        <v>1580</v>
      </c>
    </row>
    <row r="167" spans="1:3" x14ac:dyDescent="0.2">
      <c r="A167" s="392" t="s">
        <v>1631</v>
      </c>
      <c r="B167" s="423" t="s">
        <v>1630</v>
      </c>
      <c r="C167" s="17" t="s">
        <v>1632</v>
      </c>
    </row>
    <row r="168" spans="1:3" x14ac:dyDescent="0.2">
      <c r="A168" s="392" t="s">
        <v>1309</v>
      </c>
      <c r="B168" s="423" t="s">
        <v>1633</v>
      </c>
      <c r="C168" s="17" t="s">
        <v>1634</v>
      </c>
    </row>
    <row r="169" spans="1:3" x14ac:dyDescent="0.2">
      <c r="A169" s="392" t="s">
        <v>1635</v>
      </c>
      <c r="B169" s="423" t="s">
        <v>1636</v>
      </c>
      <c r="C169" s="17" t="s">
        <v>1637</v>
      </c>
    </row>
    <row r="170" spans="1:3" x14ac:dyDescent="0.2">
      <c r="A170" s="392" t="s">
        <v>1310</v>
      </c>
      <c r="B170" s="423" t="s">
        <v>1641</v>
      </c>
      <c r="C170" s="17" t="s">
        <v>1640</v>
      </c>
    </row>
    <row r="171" spans="1:3" ht="25.5" x14ac:dyDescent="0.2">
      <c r="A171" s="392" t="s">
        <v>1638</v>
      </c>
      <c r="B171" s="423" t="s">
        <v>1643</v>
      </c>
      <c r="C171" s="17" t="s">
        <v>1644</v>
      </c>
    </row>
    <row r="172" spans="1:3" x14ac:dyDescent="0.2">
      <c r="A172" s="392" t="s">
        <v>1639</v>
      </c>
      <c r="B172" s="423" t="s">
        <v>1642</v>
      </c>
      <c r="C172" s="17" t="s">
        <v>1645</v>
      </c>
    </row>
    <row r="173" spans="1:3" x14ac:dyDescent="0.2">
      <c r="A173" s="392" t="s">
        <v>1649</v>
      </c>
      <c r="B173" s="423" t="s">
        <v>1647</v>
      </c>
      <c r="C173" s="17" t="s">
        <v>1652</v>
      </c>
    </row>
    <row r="174" spans="1:3" x14ac:dyDescent="0.2">
      <c r="A174" s="392" t="s">
        <v>1651</v>
      </c>
      <c r="B174" s="423" t="s">
        <v>1646</v>
      </c>
      <c r="C174" s="17" t="s">
        <v>1653</v>
      </c>
    </row>
    <row r="175" spans="1:3" x14ac:dyDescent="0.2">
      <c r="A175" s="392" t="s">
        <v>1657</v>
      </c>
      <c r="B175" s="392" t="s">
        <v>1656</v>
      </c>
      <c r="C175" s="17" t="s">
        <v>1655</v>
      </c>
    </row>
    <row r="176" spans="1:3" x14ac:dyDescent="0.2">
      <c r="A176" s="392" t="s">
        <v>1650</v>
      </c>
      <c r="B176" s="423" t="s">
        <v>1648</v>
      </c>
      <c r="C176" s="17" t="s">
        <v>1654</v>
      </c>
    </row>
    <row r="177" spans="1:3" x14ac:dyDescent="0.2">
      <c r="A177" s="479" t="s">
        <v>1367</v>
      </c>
      <c r="B177" s="480" t="s">
        <v>1749</v>
      </c>
      <c r="C177" s="481" t="s">
        <v>1750</v>
      </c>
    </row>
    <row r="178" spans="1:3" x14ac:dyDescent="0.2">
      <c r="A178" s="392" t="s">
        <v>1701</v>
      </c>
      <c r="B178" s="485" t="s">
        <v>1715</v>
      </c>
      <c r="C178" s="485" t="s">
        <v>1719</v>
      </c>
    </row>
    <row r="179" spans="1:3" x14ac:dyDescent="0.2">
      <c r="A179" s="391" t="s">
        <v>1329</v>
      </c>
      <c r="B179" s="467" t="s">
        <v>1674</v>
      </c>
      <c r="C179" s="468" t="s">
        <v>1673</v>
      </c>
    </row>
    <row r="180" spans="1:3" x14ac:dyDescent="0.2">
      <c r="A180" s="392" t="s">
        <v>109</v>
      </c>
      <c r="B180" s="423" t="s">
        <v>1658</v>
      </c>
      <c r="C180" s="17" t="s">
        <v>810</v>
      </c>
    </row>
    <row r="181" spans="1:3" x14ac:dyDescent="0.2">
      <c r="A181" s="392" t="s">
        <v>110</v>
      </c>
      <c r="B181" s="423" t="s">
        <v>1659</v>
      </c>
      <c r="C181" s="17" t="s">
        <v>809</v>
      </c>
    </row>
    <row r="182" spans="1:3" x14ac:dyDescent="0.2">
      <c r="A182" s="392" t="s">
        <v>1330</v>
      </c>
      <c r="B182" s="423" t="s">
        <v>1675</v>
      </c>
      <c r="C182" s="392" t="s">
        <v>1676</v>
      </c>
    </row>
    <row r="183" spans="1:3" x14ac:dyDescent="0.2">
      <c r="A183" s="392" t="s">
        <v>1331</v>
      </c>
      <c r="B183" t="s">
        <v>1677</v>
      </c>
      <c r="C183" t="s">
        <v>1666</v>
      </c>
    </row>
    <row r="184" spans="1:3" x14ac:dyDescent="0.2">
      <c r="A184" s="392" t="s">
        <v>113</v>
      </c>
      <c r="B184" t="s">
        <v>1682</v>
      </c>
      <c r="C184" t="s">
        <v>1685</v>
      </c>
    </row>
    <row r="185" spans="1:3" x14ac:dyDescent="0.2">
      <c r="A185" s="438" t="s">
        <v>1333</v>
      </c>
      <c r="B185" t="s">
        <v>1683</v>
      </c>
      <c r="C185" t="s">
        <v>1686</v>
      </c>
    </row>
    <row r="186" spans="1:3" x14ac:dyDescent="0.2">
      <c r="A186" s="438" t="s">
        <v>1334</v>
      </c>
      <c r="B186" t="s">
        <v>1684</v>
      </c>
      <c r="C186" t="s">
        <v>1687</v>
      </c>
    </row>
    <row r="187" spans="1:3" x14ac:dyDescent="0.2">
      <c r="A187" s="438" t="s">
        <v>1335</v>
      </c>
      <c r="B187" s="423" t="s">
        <v>1678</v>
      </c>
      <c r="C187" s="17" t="s">
        <v>1688</v>
      </c>
    </row>
    <row r="188" spans="1:3" x14ac:dyDescent="0.2">
      <c r="A188" s="438" t="s">
        <v>1337</v>
      </c>
      <c r="B188" s="423" t="s">
        <v>1680</v>
      </c>
      <c r="C188" s="17" t="s">
        <v>1689</v>
      </c>
    </row>
    <row r="189" spans="1:3" x14ac:dyDescent="0.2">
      <c r="A189" s="438" t="s">
        <v>1338</v>
      </c>
      <c r="B189" s="423" t="s">
        <v>1679</v>
      </c>
      <c r="C189" s="17" t="s">
        <v>1690</v>
      </c>
    </row>
    <row r="190" spans="1:3" x14ac:dyDescent="0.2">
      <c r="A190" s="438" t="s">
        <v>1340</v>
      </c>
      <c r="B190" t="s">
        <v>1660</v>
      </c>
      <c r="C190" t="s">
        <v>1667</v>
      </c>
    </row>
    <row r="191" spans="1:3" x14ac:dyDescent="0.2">
      <c r="A191" s="438" t="s">
        <v>1341</v>
      </c>
      <c r="B191" t="s">
        <v>1661</v>
      </c>
      <c r="C191" t="s">
        <v>1668</v>
      </c>
    </row>
    <row r="192" spans="1:3" x14ac:dyDescent="0.2">
      <c r="A192" s="438" t="s">
        <v>1343</v>
      </c>
      <c r="B192" t="s">
        <v>1662</v>
      </c>
      <c r="C192" t="s">
        <v>1669</v>
      </c>
    </row>
    <row r="193" spans="1:3" s="436" customFormat="1" ht="19.5" customHeight="1" x14ac:dyDescent="0.2">
      <c r="A193" s="438" t="s">
        <v>1716</v>
      </c>
      <c r="B193" s="482" t="s">
        <v>1717</v>
      </c>
      <c r="C193" s="484" t="s">
        <v>1670</v>
      </c>
    </row>
    <row r="194" spans="1:3" x14ac:dyDescent="0.2">
      <c r="A194" s="438" t="s">
        <v>1345</v>
      </c>
      <c r="B194" t="s">
        <v>1663</v>
      </c>
      <c r="C194" t="s">
        <v>1671</v>
      </c>
    </row>
    <row r="195" spans="1:3" x14ac:dyDescent="0.2">
      <c r="A195" s="438" t="s">
        <v>1347</v>
      </c>
      <c r="B195" s="423" t="s">
        <v>1700</v>
      </c>
      <c r="C195" t="s">
        <v>1699</v>
      </c>
    </row>
    <row r="196" spans="1:3" x14ac:dyDescent="0.2">
      <c r="A196" s="438" t="s">
        <v>1348</v>
      </c>
      <c r="B196" s="423" t="s">
        <v>1681</v>
      </c>
      <c r="C196" s="17" t="s">
        <v>1691</v>
      </c>
    </row>
    <row r="197" spans="1:3" x14ac:dyDescent="0.2">
      <c r="A197" s="438" t="s">
        <v>1349</v>
      </c>
      <c r="B197" s="483" t="s">
        <v>1664</v>
      </c>
      <c r="C197" s="17" t="s">
        <v>1692</v>
      </c>
    </row>
    <row r="198" spans="1:3" x14ac:dyDescent="0.2">
      <c r="A198" s="438" t="s">
        <v>1350</v>
      </c>
      <c r="B198" s="422" t="s">
        <v>1693</v>
      </c>
      <c r="C198" s="392" t="s">
        <v>1694</v>
      </c>
    </row>
    <row r="199" spans="1:3" x14ac:dyDescent="0.2">
      <c r="A199" s="438" t="s">
        <v>1351</v>
      </c>
      <c r="B199" s="423" t="s">
        <v>1665</v>
      </c>
      <c r="C199" t="s">
        <v>1672</v>
      </c>
    </row>
    <row r="200" spans="1:3" x14ac:dyDescent="0.2">
      <c r="A200" s="463" t="s">
        <v>1353</v>
      </c>
      <c r="B200" s="422" t="s">
        <v>1695</v>
      </c>
      <c r="C200" s="392" t="s">
        <v>1697</v>
      </c>
    </row>
    <row r="201" spans="1:3" x14ac:dyDescent="0.2">
      <c r="A201" s="463" t="s">
        <v>1354</v>
      </c>
      <c r="B201" s="423" t="s">
        <v>1696</v>
      </c>
      <c r="C201" s="17" t="s">
        <v>1698</v>
      </c>
    </row>
    <row r="202" spans="1:3" ht="12.75" customHeight="1" x14ac:dyDescent="0.2">
      <c r="A202" s="392" t="s">
        <v>1352</v>
      </c>
      <c r="B202" s="422" t="s">
        <v>1702</v>
      </c>
      <c r="C202" s="392" t="s">
        <v>1703</v>
      </c>
    </row>
    <row r="203" spans="1:3" ht="12.75" customHeight="1" x14ac:dyDescent="0.2">
      <c r="A203" s="392" t="s">
        <v>1948</v>
      </c>
      <c r="B203" s="422" t="s">
        <v>1950</v>
      </c>
      <c r="C203" s="392" t="s">
        <v>1949</v>
      </c>
    </row>
    <row r="204" spans="1:3" x14ac:dyDescent="0.2">
      <c r="A204" s="392" t="s">
        <v>1974</v>
      </c>
      <c r="B204" s="423" t="s">
        <v>1975</v>
      </c>
      <c r="C204" s="421" t="s">
        <v>1976</v>
      </c>
    </row>
    <row r="205" spans="1:3" ht="12" customHeight="1" x14ac:dyDescent="0.2">
      <c r="A205" s="751" t="s">
        <v>1904</v>
      </c>
      <c r="B205" s="752" t="s">
        <v>1705</v>
      </c>
      <c r="C205" s="752" t="s">
        <v>1706</v>
      </c>
    </row>
    <row r="206" spans="1:3" ht="12.75" customHeight="1" x14ac:dyDescent="0.2">
      <c r="A206" s="753" t="s">
        <v>1707</v>
      </c>
      <c r="B206" s="754" t="s">
        <v>1709</v>
      </c>
      <c r="C206" s="753" t="s">
        <v>1710</v>
      </c>
    </row>
    <row r="207" spans="1:3" ht="12.75" customHeight="1" x14ac:dyDescent="0.2">
      <c r="A207" s="753" t="s">
        <v>1355</v>
      </c>
      <c r="B207" s="754" t="s">
        <v>1711</v>
      </c>
      <c r="C207" s="753" t="s">
        <v>1712</v>
      </c>
    </row>
    <row r="208" spans="1:3" ht="12.75" customHeight="1" x14ac:dyDescent="0.2">
      <c r="A208" s="753" t="s">
        <v>1356</v>
      </c>
      <c r="B208" s="754" t="s">
        <v>1713</v>
      </c>
      <c r="C208" s="753" t="s">
        <v>1714</v>
      </c>
    </row>
    <row r="209" spans="1:3" ht="12.75" customHeight="1" x14ac:dyDescent="0.2">
      <c r="A209" s="753" t="s">
        <v>1708</v>
      </c>
      <c r="B209" s="753" t="s">
        <v>1718</v>
      </c>
      <c r="C209" s="753" t="s">
        <v>1720</v>
      </c>
    </row>
    <row r="210" spans="1:3" ht="12.75" customHeight="1" x14ac:dyDescent="0.2">
      <c r="A210" s="391" t="s">
        <v>1905</v>
      </c>
      <c r="B210" s="391" t="s">
        <v>1722</v>
      </c>
      <c r="C210" s="391" t="s">
        <v>1723</v>
      </c>
    </row>
    <row r="211" spans="1:3" ht="12.75" customHeight="1" x14ac:dyDescent="0.2">
      <c r="A211" s="391" t="s">
        <v>1906</v>
      </c>
      <c r="B211" s="486" t="s">
        <v>1724</v>
      </c>
      <c r="C211" s="391" t="s">
        <v>1725</v>
      </c>
    </row>
    <row r="212" spans="1:3" ht="12.75" customHeight="1" x14ac:dyDescent="0.2">
      <c r="A212" s="391" t="s">
        <v>1907</v>
      </c>
      <c r="B212" s="486" t="s">
        <v>1726</v>
      </c>
      <c r="C212" s="391" t="s">
        <v>1727</v>
      </c>
    </row>
    <row r="213" spans="1:3" ht="12.75" customHeight="1" x14ac:dyDescent="0.2">
      <c r="A213" s="391" t="s">
        <v>1908</v>
      </c>
      <c r="B213" s="486" t="s">
        <v>1728</v>
      </c>
      <c r="C213" s="391" t="s">
        <v>1729</v>
      </c>
    </row>
    <row r="214" spans="1:3" ht="12.75" customHeight="1" x14ac:dyDescent="0.2">
      <c r="A214" s="391" t="s">
        <v>1909</v>
      </c>
      <c r="B214" s="391" t="s">
        <v>1763</v>
      </c>
      <c r="C214" s="391" t="s">
        <v>1730</v>
      </c>
    </row>
    <row r="215" spans="1:3" ht="12.75" customHeight="1" x14ac:dyDescent="0.2">
      <c r="A215" s="392" t="s">
        <v>1357</v>
      </c>
      <c r="B215" s="392" t="s">
        <v>1732</v>
      </c>
      <c r="C215" s="392" t="s">
        <v>1731</v>
      </c>
    </row>
    <row r="216" spans="1:3" ht="12.75" customHeight="1" x14ac:dyDescent="0.2">
      <c r="A216" s="392" t="s">
        <v>1358</v>
      </c>
      <c r="B216" s="392" t="s">
        <v>1734</v>
      </c>
      <c r="C216" s="392" t="s">
        <v>1733</v>
      </c>
    </row>
    <row r="217" spans="1:3" ht="12.75" customHeight="1" x14ac:dyDescent="0.2">
      <c r="A217" s="392" t="s">
        <v>1721</v>
      </c>
      <c r="B217" s="485" t="s">
        <v>1745</v>
      </c>
      <c r="C217" s="392" t="s">
        <v>1747</v>
      </c>
    </row>
    <row r="218" spans="1:3" ht="12.75" customHeight="1" x14ac:dyDescent="0.2">
      <c r="A218" s="392" t="s">
        <v>1360</v>
      </c>
      <c r="B218" s="485" t="s">
        <v>1746</v>
      </c>
      <c r="C218" s="392" t="s">
        <v>1748</v>
      </c>
    </row>
    <row r="219" spans="1:3" ht="12.75" customHeight="1" x14ac:dyDescent="0.2">
      <c r="A219" s="392" t="s">
        <v>1361</v>
      </c>
      <c r="B219" s="485" t="s">
        <v>1739</v>
      </c>
      <c r="C219" s="485" t="s">
        <v>1735</v>
      </c>
    </row>
    <row r="220" spans="1:3" ht="12.75" customHeight="1" x14ac:dyDescent="0.2">
      <c r="A220" s="392" t="s">
        <v>1362</v>
      </c>
      <c r="B220" s="485" t="s">
        <v>1740</v>
      </c>
      <c r="C220" s="485" t="s">
        <v>1736</v>
      </c>
    </row>
    <row r="221" spans="1:3" ht="12.75" customHeight="1" x14ac:dyDescent="0.2">
      <c r="A221" s="392" t="s">
        <v>1924</v>
      </c>
      <c r="B221" s="485" t="s">
        <v>1923</v>
      </c>
      <c r="C221" s="485"/>
    </row>
    <row r="222" spans="1:3" ht="12.75" customHeight="1" x14ac:dyDescent="0.2">
      <c r="A222" s="392" t="s">
        <v>1363</v>
      </c>
      <c r="B222" s="485" t="s">
        <v>1741</v>
      </c>
      <c r="C222" s="485" t="s">
        <v>1737</v>
      </c>
    </row>
    <row r="223" spans="1:3" ht="12.75" customHeight="1" x14ac:dyDescent="0.2">
      <c r="A223" s="392" t="s">
        <v>1364</v>
      </c>
      <c r="B223" s="485" t="s">
        <v>1742</v>
      </c>
      <c r="C223" s="485" t="s">
        <v>1751</v>
      </c>
    </row>
    <row r="224" spans="1:3" ht="12.75" customHeight="1" x14ac:dyDescent="0.2">
      <c r="A224" s="391" t="s">
        <v>1910</v>
      </c>
      <c r="B224" s="391" t="s">
        <v>1743</v>
      </c>
      <c r="C224" s="391" t="s">
        <v>1761</v>
      </c>
    </row>
    <row r="225" spans="1:3" ht="12.75" customHeight="1" x14ac:dyDescent="0.2">
      <c r="A225" s="392" t="s">
        <v>1365</v>
      </c>
      <c r="B225" s="485" t="s">
        <v>1945</v>
      </c>
      <c r="C225" s="485" t="s">
        <v>1768</v>
      </c>
    </row>
    <row r="226" spans="1:3" ht="12.75" customHeight="1" x14ac:dyDescent="0.2">
      <c r="A226" s="392" t="s">
        <v>1366</v>
      </c>
      <c r="B226" s="485" t="s">
        <v>1744</v>
      </c>
      <c r="C226" s="485" t="s">
        <v>1738</v>
      </c>
    </row>
    <row r="227" spans="1:3" x14ac:dyDescent="0.2">
      <c r="B227" s="423"/>
      <c r="C227" s="17"/>
    </row>
    <row r="228" spans="1:3" x14ac:dyDescent="0.2">
      <c r="A228" s="392" t="s">
        <v>36</v>
      </c>
      <c r="B228" s="423" t="s">
        <v>35</v>
      </c>
      <c r="C228" s="17" t="s">
        <v>34</v>
      </c>
    </row>
    <row r="229" spans="1:3" x14ac:dyDescent="0.2">
      <c r="A229" s="1" t="s">
        <v>0</v>
      </c>
      <c r="B229" s="422" t="s">
        <v>825</v>
      </c>
      <c r="C229" s="392" t="s">
        <v>826</v>
      </c>
    </row>
    <row r="230" spans="1:3" x14ac:dyDescent="0.2">
      <c r="A230" s="1" t="s">
        <v>101</v>
      </c>
      <c r="B230" s="422" t="s">
        <v>892</v>
      </c>
      <c r="C230" s="392" t="s">
        <v>824</v>
      </c>
    </row>
    <row r="231" spans="1:3" x14ac:dyDescent="0.2">
      <c r="A231" s="1" t="s">
        <v>102</v>
      </c>
      <c r="B231" s="422" t="s">
        <v>893</v>
      </c>
      <c r="C231" s="392" t="s">
        <v>823</v>
      </c>
    </row>
    <row r="232" spans="1:3" x14ac:dyDescent="0.2">
      <c r="A232" s="1" t="s">
        <v>103</v>
      </c>
      <c r="B232" s="422" t="s">
        <v>894</v>
      </c>
      <c r="C232" t="s">
        <v>103</v>
      </c>
    </row>
    <row r="233" spans="1:3" x14ac:dyDescent="0.2">
      <c r="A233" s="1" t="s">
        <v>104</v>
      </c>
      <c r="B233" s="422" t="s">
        <v>895</v>
      </c>
      <c r="C233" t="s">
        <v>104</v>
      </c>
    </row>
    <row r="234" spans="1:3" x14ac:dyDescent="0.2">
      <c r="A234" s="396" t="s">
        <v>1803</v>
      </c>
      <c r="B234" s="422" t="s">
        <v>1802</v>
      </c>
      <c r="C234" s="392" t="s">
        <v>1804</v>
      </c>
    </row>
    <row r="235" spans="1:3" x14ac:dyDescent="0.2">
      <c r="A235" s="396" t="s">
        <v>5</v>
      </c>
      <c r="B235" s="422" t="s">
        <v>623</v>
      </c>
      <c r="C235" s="392" t="s">
        <v>622</v>
      </c>
    </row>
    <row r="236" spans="1:3" x14ac:dyDescent="0.2">
      <c r="A236" s="396" t="s">
        <v>6</v>
      </c>
      <c r="B236" s="422" t="s">
        <v>674</v>
      </c>
      <c r="C236" s="392" t="s">
        <v>285</v>
      </c>
    </row>
    <row r="237" spans="1:3" x14ac:dyDescent="0.2">
      <c r="A237" s="396" t="s">
        <v>7</v>
      </c>
      <c r="B237" s="422" t="s">
        <v>897</v>
      </c>
      <c r="C237" s="392" t="s">
        <v>673</v>
      </c>
    </row>
    <row r="238" spans="1:3" x14ac:dyDescent="0.2">
      <c r="A238" s="396" t="s">
        <v>201</v>
      </c>
      <c r="B238" s="422" t="s">
        <v>898</v>
      </c>
      <c r="C238" s="392" t="s">
        <v>822</v>
      </c>
    </row>
    <row r="239" spans="1:3" x14ac:dyDescent="0.2">
      <c r="A239" s="396" t="s">
        <v>820</v>
      </c>
      <c r="B239" s="422" t="s">
        <v>899</v>
      </c>
      <c r="C239" s="392" t="s">
        <v>821</v>
      </c>
    </row>
    <row r="240" spans="1:3" x14ac:dyDescent="0.2">
      <c r="A240" s="396" t="s">
        <v>509</v>
      </c>
      <c r="B240" s="422" t="s">
        <v>900</v>
      </c>
      <c r="C240" s="392" t="s">
        <v>819</v>
      </c>
    </row>
    <row r="241" spans="1:3" x14ac:dyDescent="0.2">
      <c r="A241" s="1" t="s">
        <v>106</v>
      </c>
      <c r="B241" s="422" t="s">
        <v>901</v>
      </c>
      <c r="C241" s="392" t="s">
        <v>818</v>
      </c>
    </row>
    <row r="242" spans="1:3" x14ac:dyDescent="0.2">
      <c r="A242" s="1" t="s">
        <v>107</v>
      </c>
      <c r="B242" s="422" t="s">
        <v>902</v>
      </c>
      <c r="C242" s="392" t="s">
        <v>817</v>
      </c>
    </row>
    <row r="243" spans="1:3" x14ac:dyDescent="0.2">
      <c r="A243" s="1" t="s">
        <v>202</v>
      </c>
      <c r="B243" s="422" t="s">
        <v>903</v>
      </c>
      <c r="C243" s="392" t="s">
        <v>672</v>
      </c>
    </row>
    <row r="244" spans="1:3" x14ac:dyDescent="0.2">
      <c r="A244" s="1" t="s">
        <v>203</v>
      </c>
      <c r="B244" s="422" t="s">
        <v>815</v>
      </c>
      <c r="C244" s="392" t="s">
        <v>816</v>
      </c>
    </row>
    <row r="245" spans="1:3" x14ac:dyDescent="0.2">
      <c r="A245" s="392" t="s">
        <v>108</v>
      </c>
      <c r="B245" s="422" t="s">
        <v>813</v>
      </c>
      <c r="C245" s="392" t="s">
        <v>814</v>
      </c>
    </row>
    <row r="246" spans="1:3" x14ac:dyDescent="0.2">
      <c r="A246" s="4" t="s">
        <v>112</v>
      </c>
      <c r="B246" s="422" t="s">
        <v>904</v>
      </c>
      <c r="C246" t="s">
        <v>1148</v>
      </c>
    </row>
    <row r="247" spans="1:3" x14ac:dyDescent="0.2">
      <c r="A247" s="4" t="s">
        <v>113</v>
      </c>
      <c r="B247" s="422" t="s">
        <v>812</v>
      </c>
      <c r="C247" s="392" t="s">
        <v>811</v>
      </c>
    </row>
    <row r="248" spans="1:3" x14ac:dyDescent="0.2">
      <c r="A248" s="4" t="s">
        <v>863</v>
      </c>
      <c r="B248" s="422" t="s">
        <v>905</v>
      </c>
      <c r="C248" s="392" t="s">
        <v>864</v>
      </c>
    </row>
    <row r="249" spans="1:3" x14ac:dyDescent="0.2">
      <c r="A249" s="4" t="s">
        <v>867</v>
      </c>
      <c r="B249" s="422" t="s">
        <v>906</v>
      </c>
      <c r="C249" s="392" t="s">
        <v>868</v>
      </c>
    </row>
    <row r="250" spans="1:3" x14ac:dyDescent="0.2">
      <c r="A250" s="396" t="s">
        <v>109</v>
      </c>
      <c r="B250" s="422" t="s">
        <v>907</v>
      </c>
      <c r="C250" s="392" t="s">
        <v>810</v>
      </c>
    </row>
    <row r="251" spans="1:3" x14ac:dyDescent="0.2">
      <c r="A251" s="396" t="s">
        <v>110</v>
      </c>
      <c r="B251" s="422" t="s">
        <v>908</v>
      </c>
      <c r="C251" s="392" t="s">
        <v>809</v>
      </c>
    </row>
    <row r="252" spans="1:3" x14ac:dyDescent="0.2">
      <c r="A252" s="4" t="s">
        <v>111</v>
      </c>
      <c r="B252" s="422" t="s">
        <v>833</v>
      </c>
      <c r="C252" s="392" t="s">
        <v>834</v>
      </c>
    </row>
    <row r="253" spans="1:3" x14ac:dyDescent="0.2">
      <c r="A253" s="396" t="s">
        <v>24</v>
      </c>
      <c r="B253" s="422" t="s">
        <v>549</v>
      </c>
      <c r="C253" s="392" t="s">
        <v>547</v>
      </c>
    </row>
    <row r="254" spans="1:3" x14ac:dyDescent="0.2">
      <c r="A254" s="4" t="s">
        <v>853</v>
      </c>
      <c r="B254" s="422" t="s">
        <v>909</v>
      </c>
      <c r="C254" s="392" t="s">
        <v>854</v>
      </c>
    </row>
    <row r="255" spans="1:3" s="408" customFormat="1" x14ac:dyDescent="0.2">
      <c r="A255" s="4" t="str">
        <f>IF('START, DÉBUT, INIZIO'!$C$19=A253,A254,"")</f>
        <v/>
      </c>
      <c r="B255" s="4" t="str">
        <f>IF('START, DÉBUT, INIZIO'!$C$19=B253,B254,"")</f>
        <v/>
      </c>
      <c r="C255" s="4" t="str">
        <f>IF('START, DÉBUT, INIZIO'!$C$19=C253,C254,"")</f>
        <v/>
      </c>
    </row>
    <row r="256" spans="1:3" s="408" customFormat="1" x14ac:dyDescent="0.2">
      <c r="A256" s="4">
        <f>IF('START, DÉBUT, INIZIO'!$C$19=A734,'2 Techn. Angaben &amp; Produktion'!$H$27-'2 Techn. Angaben &amp; Produktion'!$F$27,0)</f>
        <v>0</v>
      </c>
      <c r="B256" s="4">
        <f>IF('START, DÉBUT, INIZIO'!$C$19=B734,'2 Techn. Angaben &amp; Produktion'!$H$27-'2 Techn. Angaben &amp; Produktion'!$F$27,0)</f>
        <v>0</v>
      </c>
      <c r="C256" s="4">
        <f>IF('START, DÉBUT, INIZIO'!$C$19=C734,'2 Techn. Angaben &amp; Produktion'!$H$27-'2 Techn. Angaben &amp; Produktion'!$F$27,0)</f>
        <v>0</v>
      </c>
    </row>
    <row r="257" spans="1:3" x14ac:dyDescent="0.2">
      <c r="A257" s="392" t="s">
        <v>115</v>
      </c>
      <c r="B257" s="422" t="s">
        <v>807</v>
      </c>
      <c r="C257" s="392" t="s">
        <v>808</v>
      </c>
    </row>
    <row r="258" spans="1:3" x14ac:dyDescent="0.2">
      <c r="A258" s="396" t="s">
        <v>844</v>
      </c>
      <c r="B258" s="422" t="s">
        <v>910</v>
      </c>
      <c r="C258" s="392" t="s">
        <v>806</v>
      </c>
    </row>
    <row r="259" spans="1:3" ht="24.75" customHeight="1" x14ac:dyDescent="0.2">
      <c r="A259" s="420" t="s">
        <v>835</v>
      </c>
      <c r="B259" s="423" t="s">
        <v>912</v>
      </c>
      <c r="C259" s="421" t="s">
        <v>838</v>
      </c>
    </row>
    <row r="260" spans="1:3" x14ac:dyDescent="0.2">
      <c r="A260" s="420" t="s">
        <v>510</v>
      </c>
      <c r="B260" s="422" t="s">
        <v>911</v>
      </c>
      <c r="C260" s="392" t="s">
        <v>805</v>
      </c>
    </row>
    <row r="261" spans="1:3" x14ac:dyDescent="0.2">
      <c r="A261" s="397" t="str">
        <f ca="1">IF('START, DÉBUT, INIZIO'!$C$20=DropDown!$A$7,Sprachen!A$259,Sprachen!A$260)</f>
        <v>Mittelwert der letzten 5 Geschäftsjahre. → vor Investition</v>
      </c>
      <c r="B261" s="397" t="str">
        <f ca="1">IF('START, DÉBUT, INIZIO'!$C$20=DropDown!$A$7,Sprachen!B$259,Sprachen!B$260)</f>
        <v>Moyenne des 5 derniers exercices → avant investissement</v>
      </c>
      <c r="C261" s="397" t="str">
        <f ca="1">IF('START, DÉBUT, INIZIO'!$C$20=DropDown!$A$7,Sprachen!C$259,Sprachen!C$260)</f>
        <v>Media degli ultimi 5 esercizi. → prima dell'investimento</v>
      </c>
    </row>
    <row r="262" spans="1:3" x14ac:dyDescent="0.2">
      <c r="A262" s="396" t="s">
        <v>511</v>
      </c>
      <c r="B262" s="422" t="s">
        <v>913</v>
      </c>
      <c r="C262" s="392" t="s">
        <v>804</v>
      </c>
    </row>
    <row r="263" spans="1:3" x14ac:dyDescent="0.2">
      <c r="A263" s="396" t="s">
        <v>882</v>
      </c>
      <c r="B263" s="392" t="s">
        <v>883</v>
      </c>
      <c r="C263" s="392" t="s">
        <v>884</v>
      </c>
    </row>
    <row r="264" spans="1:3" x14ac:dyDescent="0.2">
      <c r="A264" s="397" t="str">
        <f ca="1">IF('START, DÉBUT, INIZIO'!$C$19=DropDown!$A$4,Sprachen!A$263,Sprachen!A$262)</f>
        <v>Nur für erhebliche Erneuerung ausfüllen</v>
      </c>
      <c r="B264" s="397" t="str">
        <f ca="1">IF('START, DÉBUT, INIZIO'!$C$19=DropDown!$A$4,Sprachen!B$263,Sprachen!B$262)</f>
        <v>À remplir uniquement en cas de rénovation notable</v>
      </c>
      <c r="C264" s="397" t="str">
        <f ca="1">IF('START, DÉBUT, INIZIO'!$C$19=DropDown!$A$4,Sprachen!C$263,Sprachen!C$262)</f>
        <v>Da compilare solo in caso di ristrutturazione sostanziale</v>
      </c>
    </row>
    <row r="265" spans="1:3" ht="25.5" x14ac:dyDescent="0.2">
      <c r="A265" s="420" t="s">
        <v>1914</v>
      </c>
      <c r="B265" s="421" t="s">
        <v>1915</v>
      </c>
      <c r="C265" s="421" t="s">
        <v>1916</v>
      </c>
    </row>
    <row r="266" spans="1:3" x14ac:dyDescent="0.2">
      <c r="A266" s="396" t="s">
        <v>1917</v>
      </c>
      <c r="B266" s="422" t="s">
        <v>1918</v>
      </c>
      <c r="C266" s="392" t="s">
        <v>1919</v>
      </c>
    </row>
    <row r="267" spans="1:3" x14ac:dyDescent="0.2">
      <c r="A267" s="396" t="s">
        <v>186</v>
      </c>
      <c r="B267" s="392" t="s">
        <v>802</v>
      </c>
      <c r="C267" s="392" t="s">
        <v>803</v>
      </c>
    </row>
    <row r="268" spans="1:3" ht="25.5" x14ac:dyDescent="0.2">
      <c r="A268" s="420" t="s">
        <v>836</v>
      </c>
      <c r="B268" s="423" t="s">
        <v>920</v>
      </c>
      <c r="C268" s="421" t="s">
        <v>837</v>
      </c>
    </row>
    <row r="269" spans="1:3" x14ac:dyDescent="0.2">
      <c r="A269" s="396" t="s">
        <v>512</v>
      </c>
      <c r="B269" s="422" t="s">
        <v>914</v>
      </c>
      <c r="C269" s="392" t="s">
        <v>801</v>
      </c>
    </row>
    <row r="270" spans="1:3" x14ac:dyDescent="0.2">
      <c r="A270" s="424" t="s">
        <v>843</v>
      </c>
      <c r="B270" s="392" t="s">
        <v>800</v>
      </c>
      <c r="C270" s="392" t="s">
        <v>746</v>
      </c>
    </row>
    <row r="271" spans="1:3" x14ac:dyDescent="0.2">
      <c r="A271" s="755" t="s">
        <v>1925</v>
      </c>
      <c r="B271" s="452" t="s">
        <v>1926</v>
      </c>
      <c r="C271" s="452" t="s">
        <v>1927</v>
      </c>
    </row>
    <row r="272" spans="1:3" x14ac:dyDescent="0.2">
      <c r="A272" s="396" t="s">
        <v>1920</v>
      </c>
      <c r="B272" s="422" t="s">
        <v>1921</v>
      </c>
      <c r="C272" s="392" t="s">
        <v>1922</v>
      </c>
    </row>
    <row r="273" spans="1:3" x14ac:dyDescent="0.2">
      <c r="A273" s="392" t="s">
        <v>116</v>
      </c>
      <c r="B273" s="422" t="s">
        <v>1147</v>
      </c>
      <c r="C273" s="392" t="s">
        <v>799</v>
      </c>
    </row>
    <row r="274" spans="1:3" x14ac:dyDescent="0.2">
      <c r="A274" s="1" t="s">
        <v>845</v>
      </c>
      <c r="B274" s="422" t="s">
        <v>915</v>
      </c>
      <c r="C274" s="392" t="s">
        <v>798</v>
      </c>
    </row>
    <row r="275" spans="1:3" x14ac:dyDescent="0.2">
      <c r="A275" s="1" t="s">
        <v>844</v>
      </c>
      <c r="B275" s="422" t="s">
        <v>910</v>
      </c>
      <c r="C275" s="392" t="s">
        <v>797</v>
      </c>
    </row>
    <row r="276" spans="1:3" x14ac:dyDescent="0.2">
      <c r="A276" s="425" t="s">
        <v>1203</v>
      </c>
      <c r="B276" s="422" t="s">
        <v>916</v>
      </c>
      <c r="C276" s="392" t="s">
        <v>796</v>
      </c>
    </row>
    <row r="277" spans="1:3" ht="15.75" x14ac:dyDescent="0.3">
      <c r="A277" s="1" t="s">
        <v>117</v>
      </c>
      <c r="B277" s="422" t="s">
        <v>917</v>
      </c>
      <c r="C277" s="392" t="s">
        <v>795</v>
      </c>
    </row>
    <row r="278" spans="1:3" x14ac:dyDescent="0.2">
      <c r="A278" s="1" t="s">
        <v>1204</v>
      </c>
      <c r="B278" s="422" t="s">
        <v>1205</v>
      </c>
      <c r="C278" s="392" t="s">
        <v>1206</v>
      </c>
    </row>
    <row r="279" spans="1:3" ht="25.5" x14ac:dyDescent="0.2">
      <c r="A279" s="420" t="s">
        <v>839</v>
      </c>
      <c r="B279" s="421" t="s">
        <v>919</v>
      </c>
      <c r="C279" s="421" t="s">
        <v>840</v>
      </c>
    </row>
    <row r="280" spans="1:3" x14ac:dyDescent="0.2">
      <c r="A280" s="426" t="s">
        <v>841</v>
      </c>
      <c r="B280" s="427" t="s">
        <v>918</v>
      </c>
      <c r="C280" s="421" t="s">
        <v>842</v>
      </c>
    </row>
    <row r="281" spans="1:3" x14ac:dyDescent="0.2">
      <c r="A281" s="397" t="str">
        <f ca="1">IF('START, DÉBUT, INIZIO'!$C$19=DropDown!$A$4,A280,A262)</f>
        <v>Nur für erhebliche Erneuerung ausfüllen</v>
      </c>
      <c r="B281" s="397" t="str">
        <f ca="1">IF('START, DÉBUT, INIZIO'!$C$19=DropDown!$A$4,B280,B262)</f>
        <v>À remplir uniquement en cas de rénovation notable</v>
      </c>
      <c r="C281" s="397" t="str">
        <f ca="1">IF('START, DÉBUT, INIZIO'!$C$19=DropDown!$A$4,C280,C262)</f>
        <v>Da compilare solo in caso di ristrutturazione sostanziale</v>
      </c>
    </row>
    <row r="282" spans="1:3" ht="29.25" customHeight="1" x14ac:dyDescent="0.2">
      <c r="A282" s="420" t="s">
        <v>185</v>
      </c>
      <c r="B282" s="423" t="s">
        <v>927</v>
      </c>
      <c r="C282" s="421" t="s">
        <v>1928</v>
      </c>
    </row>
    <row r="283" spans="1:3" x14ac:dyDescent="0.2">
      <c r="A283" s="396" t="s">
        <v>184</v>
      </c>
      <c r="B283" s="422" t="s">
        <v>921</v>
      </c>
      <c r="C283" s="392" t="s">
        <v>794</v>
      </c>
    </row>
    <row r="284" spans="1:3" x14ac:dyDescent="0.2">
      <c r="A284" s="396" t="s">
        <v>166</v>
      </c>
      <c r="B284" s="422" t="s">
        <v>922</v>
      </c>
      <c r="C284" s="392" t="s">
        <v>793</v>
      </c>
    </row>
    <row r="285" spans="1:3" x14ac:dyDescent="0.2">
      <c r="A285" s="392" t="s">
        <v>121</v>
      </c>
      <c r="B285" s="422" t="s">
        <v>923</v>
      </c>
      <c r="C285" s="392" t="s">
        <v>792</v>
      </c>
    </row>
    <row r="286" spans="1:3" x14ac:dyDescent="0.2">
      <c r="A286" s="396" t="s">
        <v>1911</v>
      </c>
      <c r="B286" s="422" t="s">
        <v>1912</v>
      </c>
      <c r="C286" s="392" t="s">
        <v>1913</v>
      </c>
    </row>
    <row r="287" spans="1:3" ht="25.5" x14ac:dyDescent="0.2">
      <c r="A287" s="420" t="s">
        <v>848</v>
      </c>
      <c r="B287" s="423" t="s">
        <v>928</v>
      </c>
      <c r="C287" s="421" t="s">
        <v>849</v>
      </c>
    </row>
    <row r="288" spans="1:3" ht="25.5" x14ac:dyDescent="0.2">
      <c r="A288" s="420" t="s">
        <v>846</v>
      </c>
      <c r="B288" s="423" t="s">
        <v>929</v>
      </c>
      <c r="C288" s="421" t="s">
        <v>847</v>
      </c>
    </row>
    <row r="289" spans="1:3" ht="25.5" x14ac:dyDescent="0.2">
      <c r="A289" s="420" t="s">
        <v>850</v>
      </c>
      <c r="B289" s="423" t="s">
        <v>930</v>
      </c>
      <c r="C289" s="421" t="s">
        <v>1929</v>
      </c>
    </row>
    <row r="290" spans="1:3" x14ac:dyDescent="0.2">
      <c r="A290" s="396" t="s">
        <v>851</v>
      </c>
      <c r="B290" s="422" t="s">
        <v>924</v>
      </c>
      <c r="C290" s="392" t="s">
        <v>852</v>
      </c>
    </row>
    <row r="291" spans="1:3" x14ac:dyDescent="0.2">
      <c r="A291" s="392" t="s">
        <v>122</v>
      </c>
      <c r="B291" s="422" t="s">
        <v>925</v>
      </c>
      <c r="C291" s="392" t="s">
        <v>790</v>
      </c>
    </row>
    <row r="292" spans="1:3" x14ac:dyDescent="0.2">
      <c r="A292" s="396" t="s">
        <v>513</v>
      </c>
      <c r="B292" s="422" t="s">
        <v>926</v>
      </c>
      <c r="C292" s="392" t="s">
        <v>791</v>
      </c>
    </row>
    <row r="294" spans="1:3" x14ac:dyDescent="0.2">
      <c r="A294" s="487" t="s">
        <v>1752</v>
      </c>
      <c r="B294" s="487" t="s">
        <v>1753</v>
      </c>
      <c r="C294" s="487" t="s">
        <v>1754</v>
      </c>
    </row>
    <row r="295" spans="1:3" x14ac:dyDescent="0.2">
      <c r="A295" s="395" t="s">
        <v>33</v>
      </c>
      <c r="B295" s="395" t="str">
        <f>A295</f>
        <v>CAPEX</v>
      </c>
      <c r="C295" s="395" t="str">
        <f>B295</f>
        <v>CAPEX</v>
      </c>
    </row>
    <row r="296" spans="1:3" x14ac:dyDescent="0.2">
      <c r="A296" s="392" t="s">
        <v>278</v>
      </c>
      <c r="B296" s="392" t="s">
        <v>1110</v>
      </c>
      <c r="C296" s="392" t="s">
        <v>279</v>
      </c>
    </row>
    <row r="297" spans="1:3" x14ac:dyDescent="0.2">
      <c r="A297" s="392" t="s">
        <v>280</v>
      </c>
      <c r="B297" s="392" t="s">
        <v>1111</v>
      </c>
      <c r="C297" s="392" t="s">
        <v>281</v>
      </c>
    </row>
    <row r="298" spans="1:3" x14ac:dyDescent="0.2">
      <c r="A298" s="392" t="s">
        <v>282</v>
      </c>
      <c r="B298" s="392" t="s">
        <v>283</v>
      </c>
      <c r="C298" s="392" t="s">
        <v>284</v>
      </c>
    </row>
    <row r="299" spans="1:3" x14ac:dyDescent="0.2">
      <c r="A299" s="392" t="s">
        <v>6</v>
      </c>
      <c r="B299" s="392" t="s">
        <v>674</v>
      </c>
      <c r="C299" s="392" t="s">
        <v>285</v>
      </c>
    </row>
    <row r="300" spans="1:3" x14ac:dyDescent="0.2">
      <c r="A300" s="392" t="s">
        <v>286</v>
      </c>
      <c r="B300" s="392" t="s">
        <v>1112</v>
      </c>
      <c r="C300" s="392" t="s">
        <v>287</v>
      </c>
    </row>
    <row r="301" spans="1:3" x14ac:dyDescent="0.2">
      <c r="A301" s="392" t="s">
        <v>1764</v>
      </c>
      <c r="B301" s="392" t="s">
        <v>1766</v>
      </c>
      <c r="C301" s="392" t="s">
        <v>1765</v>
      </c>
    </row>
    <row r="302" spans="1:3" x14ac:dyDescent="0.2">
      <c r="A302" s="392" t="s">
        <v>288</v>
      </c>
      <c r="B302" s="392" t="s">
        <v>1113</v>
      </c>
      <c r="C302" s="392" t="s">
        <v>289</v>
      </c>
    </row>
    <row r="303" spans="1:3" x14ac:dyDescent="0.2">
      <c r="A303" s="392" t="s">
        <v>290</v>
      </c>
      <c r="B303" s="392" t="s">
        <v>1114</v>
      </c>
      <c r="C303" s="392" t="s">
        <v>291</v>
      </c>
    </row>
    <row r="304" spans="1:3" x14ac:dyDescent="0.2">
      <c r="A304" s="392" t="s">
        <v>292</v>
      </c>
      <c r="B304" s="392" t="s">
        <v>293</v>
      </c>
      <c r="C304" s="392" t="s">
        <v>294</v>
      </c>
    </row>
    <row r="305" spans="1:3" x14ac:dyDescent="0.2">
      <c r="A305" s="392" t="s">
        <v>295</v>
      </c>
      <c r="B305" s="392" t="s">
        <v>296</v>
      </c>
      <c r="C305" s="392" t="s">
        <v>297</v>
      </c>
    </row>
    <row r="306" spans="1:3" x14ac:dyDescent="0.2">
      <c r="A306" s="392" t="s">
        <v>298</v>
      </c>
      <c r="B306" s="392" t="s">
        <v>1115</v>
      </c>
      <c r="C306" s="392" t="s">
        <v>299</v>
      </c>
    </row>
    <row r="307" spans="1:3" x14ac:dyDescent="0.2">
      <c r="A307" s="392" t="s">
        <v>300</v>
      </c>
      <c r="B307" s="392" t="s">
        <v>1116</v>
      </c>
      <c r="C307" s="392" t="s">
        <v>301</v>
      </c>
    </row>
    <row r="308" spans="1:3" x14ac:dyDescent="0.2">
      <c r="A308" s="392" t="s">
        <v>302</v>
      </c>
      <c r="B308" s="392" t="s">
        <v>1117</v>
      </c>
      <c r="C308" s="392" t="s">
        <v>303</v>
      </c>
    </row>
    <row r="309" spans="1:3" x14ac:dyDescent="0.2">
      <c r="A309" s="392" t="s">
        <v>304</v>
      </c>
      <c r="B309" s="392" t="s">
        <v>1118</v>
      </c>
      <c r="C309" s="392" t="s">
        <v>305</v>
      </c>
    </row>
    <row r="310" spans="1:3" x14ac:dyDescent="0.2">
      <c r="A310" s="392" t="s">
        <v>306</v>
      </c>
      <c r="B310" s="392" t="s">
        <v>307</v>
      </c>
      <c r="C310" s="392" t="s">
        <v>308</v>
      </c>
    </row>
    <row r="311" spans="1:3" x14ac:dyDescent="0.2">
      <c r="A311" s="392" t="s">
        <v>309</v>
      </c>
      <c r="B311" s="392" t="s">
        <v>310</v>
      </c>
      <c r="C311" s="392" t="s">
        <v>311</v>
      </c>
    </row>
    <row r="312" spans="1:3" x14ac:dyDescent="0.2">
      <c r="A312" s="392" t="s">
        <v>312</v>
      </c>
      <c r="B312" s="392" t="s">
        <v>1119</v>
      </c>
      <c r="C312" s="392" t="s">
        <v>313</v>
      </c>
    </row>
    <row r="313" spans="1:3" x14ac:dyDescent="0.2">
      <c r="A313" s="392" t="s">
        <v>314</v>
      </c>
      <c r="B313" s="392" t="s">
        <v>1120</v>
      </c>
      <c r="C313" s="392" t="s">
        <v>315</v>
      </c>
    </row>
    <row r="314" spans="1:3" x14ac:dyDescent="0.2">
      <c r="A314" s="392" t="s">
        <v>130</v>
      </c>
      <c r="B314" s="392" t="s">
        <v>316</v>
      </c>
      <c r="C314" s="392" t="s">
        <v>317</v>
      </c>
    </row>
    <row r="315" spans="1:3" x14ac:dyDescent="0.2">
      <c r="A315" s="392" t="s">
        <v>318</v>
      </c>
      <c r="B315" s="392" t="s">
        <v>1121</v>
      </c>
      <c r="C315" s="392" t="s">
        <v>319</v>
      </c>
    </row>
    <row r="316" spans="1:3" x14ac:dyDescent="0.2">
      <c r="A316" s="392" t="s">
        <v>320</v>
      </c>
      <c r="B316" s="392" t="s">
        <v>321</v>
      </c>
      <c r="C316" s="392" t="s">
        <v>322</v>
      </c>
    </row>
    <row r="317" spans="1:3" x14ac:dyDescent="0.2">
      <c r="A317" s="392" t="s">
        <v>323</v>
      </c>
      <c r="B317" s="392" t="s">
        <v>324</v>
      </c>
      <c r="C317" s="392" t="s">
        <v>325</v>
      </c>
    </row>
    <row r="318" spans="1:3" x14ac:dyDescent="0.2">
      <c r="A318" s="392" t="s">
        <v>326</v>
      </c>
      <c r="B318" s="392" t="s">
        <v>327</v>
      </c>
      <c r="C318" s="392" t="s">
        <v>328</v>
      </c>
    </row>
    <row r="319" spans="1:3" x14ac:dyDescent="0.2">
      <c r="A319" s="392" t="s">
        <v>329</v>
      </c>
      <c r="B319" s="392" t="s">
        <v>1122</v>
      </c>
      <c r="C319" s="392" t="s">
        <v>330</v>
      </c>
    </row>
    <row r="320" spans="1:3" x14ac:dyDescent="0.2">
      <c r="A320" s="392" t="s">
        <v>331</v>
      </c>
      <c r="B320" s="392" t="s">
        <v>1123</v>
      </c>
      <c r="C320" s="392" t="s">
        <v>332</v>
      </c>
    </row>
    <row r="321" spans="1:3" x14ac:dyDescent="0.2">
      <c r="A321" s="392" t="s">
        <v>333</v>
      </c>
      <c r="B321" s="392" t="s">
        <v>1124</v>
      </c>
      <c r="C321" s="392" t="s">
        <v>334</v>
      </c>
    </row>
    <row r="322" spans="1:3" x14ac:dyDescent="0.2">
      <c r="A322" s="392" t="s">
        <v>335</v>
      </c>
      <c r="B322" s="392" t="s">
        <v>1125</v>
      </c>
      <c r="C322" s="392" t="s">
        <v>336</v>
      </c>
    </row>
    <row r="323" spans="1:3" x14ac:dyDescent="0.2">
      <c r="A323" s="392" t="s">
        <v>337</v>
      </c>
      <c r="B323" s="392" t="s">
        <v>338</v>
      </c>
      <c r="C323" s="392" t="s">
        <v>339</v>
      </c>
    </row>
    <row r="324" spans="1:3" x14ac:dyDescent="0.2">
      <c r="A324" s="392" t="s">
        <v>340</v>
      </c>
      <c r="B324" s="392" t="s">
        <v>340</v>
      </c>
      <c r="C324" s="392" t="s">
        <v>340</v>
      </c>
    </row>
    <row r="325" spans="1:3" x14ac:dyDescent="0.2">
      <c r="A325" s="396" t="s">
        <v>341</v>
      </c>
      <c r="B325" s="399" t="s">
        <v>341</v>
      </c>
      <c r="C325" s="399" t="s">
        <v>342</v>
      </c>
    </row>
    <row r="326" spans="1:3" x14ac:dyDescent="0.2">
      <c r="A326" s="396" t="s">
        <v>343</v>
      </c>
      <c r="B326" s="399" t="s">
        <v>344</v>
      </c>
      <c r="C326" s="399" t="s">
        <v>345</v>
      </c>
    </row>
    <row r="327" spans="1:3" x14ac:dyDescent="0.2">
      <c r="A327" s="397" t="s">
        <v>346</v>
      </c>
      <c r="B327" s="392" t="s">
        <v>347</v>
      </c>
      <c r="C327" s="392" t="s">
        <v>348</v>
      </c>
    </row>
    <row r="328" spans="1:3" x14ac:dyDescent="0.2">
      <c r="A328" s="398" t="s">
        <v>349</v>
      </c>
      <c r="B328" s="392" t="s">
        <v>350</v>
      </c>
      <c r="C328" s="392" t="s">
        <v>351</v>
      </c>
    </row>
    <row r="329" spans="1:3" x14ac:dyDescent="0.2">
      <c r="A329" s="398" t="s">
        <v>352</v>
      </c>
      <c r="B329" s="392" t="s">
        <v>353</v>
      </c>
      <c r="C329" s="392" t="s">
        <v>354</v>
      </c>
    </row>
    <row r="330" spans="1:3" x14ac:dyDescent="0.2">
      <c r="A330" s="398" t="s">
        <v>355</v>
      </c>
      <c r="B330" s="392" t="s">
        <v>356</v>
      </c>
      <c r="C330" s="392" t="s">
        <v>357</v>
      </c>
    </row>
    <row r="331" spans="1:3" x14ac:dyDescent="0.2">
      <c r="A331" s="398" t="s">
        <v>358</v>
      </c>
      <c r="B331" s="392" t="s">
        <v>359</v>
      </c>
      <c r="C331" s="392" t="s">
        <v>360</v>
      </c>
    </row>
    <row r="332" spans="1:3" x14ac:dyDescent="0.2">
      <c r="A332" s="398" t="s">
        <v>361</v>
      </c>
      <c r="B332" s="392" t="s">
        <v>1126</v>
      </c>
      <c r="C332" s="392" t="s">
        <v>362</v>
      </c>
    </row>
    <row r="333" spans="1:3" x14ac:dyDescent="0.2">
      <c r="A333" s="398" t="s">
        <v>363</v>
      </c>
      <c r="B333" s="392" t="s">
        <v>1127</v>
      </c>
      <c r="C333" s="392" t="s">
        <v>364</v>
      </c>
    </row>
    <row r="334" spans="1:3" x14ac:dyDescent="0.2">
      <c r="A334" s="398" t="s">
        <v>365</v>
      </c>
      <c r="B334" s="392" t="s">
        <v>1128</v>
      </c>
      <c r="C334" s="392" t="s">
        <v>366</v>
      </c>
    </row>
    <row r="335" spans="1:3" x14ac:dyDescent="0.2">
      <c r="A335" s="398" t="s">
        <v>367</v>
      </c>
      <c r="B335" s="392" t="s">
        <v>368</v>
      </c>
      <c r="C335" s="392" t="s">
        <v>369</v>
      </c>
    </row>
    <row r="336" spans="1:3" x14ac:dyDescent="0.2">
      <c r="A336" s="398" t="s">
        <v>370</v>
      </c>
      <c r="B336" s="392" t="s">
        <v>1129</v>
      </c>
      <c r="C336" s="392" t="s">
        <v>371</v>
      </c>
    </row>
    <row r="337" spans="1:3" x14ac:dyDescent="0.2">
      <c r="A337" s="398" t="s">
        <v>372</v>
      </c>
      <c r="B337" s="392" t="s">
        <v>1130</v>
      </c>
      <c r="C337" s="392" t="s">
        <v>373</v>
      </c>
    </row>
    <row r="338" spans="1:3" x14ac:dyDescent="0.2">
      <c r="A338" s="398" t="s">
        <v>374</v>
      </c>
      <c r="B338" s="392" t="s">
        <v>375</v>
      </c>
      <c r="C338" s="392" t="s">
        <v>376</v>
      </c>
    </row>
    <row r="339" spans="1:3" x14ac:dyDescent="0.2">
      <c r="A339" s="398" t="s">
        <v>377</v>
      </c>
      <c r="B339" s="392" t="s">
        <v>1131</v>
      </c>
      <c r="C339" s="392" t="s">
        <v>378</v>
      </c>
    </row>
    <row r="340" spans="1:3" x14ac:dyDescent="0.2">
      <c r="A340" s="398" t="s">
        <v>379</v>
      </c>
      <c r="B340" s="392" t="s">
        <v>380</v>
      </c>
      <c r="C340" s="392" t="s">
        <v>381</v>
      </c>
    </row>
    <row r="341" spans="1:3" x14ac:dyDescent="0.2">
      <c r="A341" s="398" t="s">
        <v>382</v>
      </c>
      <c r="B341" s="392" t="s">
        <v>383</v>
      </c>
      <c r="C341" s="392" t="s">
        <v>384</v>
      </c>
    </row>
    <row r="342" spans="1:3" x14ac:dyDescent="0.2">
      <c r="A342" s="397" t="s">
        <v>385</v>
      </c>
      <c r="B342" s="392" t="s">
        <v>1132</v>
      </c>
      <c r="C342" s="392" t="s">
        <v>386</v>
      </c>
    </row>
    <row r="343" spans="1:3" x14ac:dyDescent="0.2">
      <c r="A343" s="398" t="s">
        <v>387</v>
      </c>
      <c r="B343" s="392" t="s">
        <v>388</v>
      </c>
      <c r="C343" s="392" t="s">
        <v>389</v>
      </c>
    </row>
    <row r="344" spans="1:3" x14ac:dyDescent="0.2">
      <c r="A344" s="398" t="s">
        <v>370</v>
      </c>
      <c r="B344" s="392" t="s">
        <v>1129</v>
      </c>
      <c r="C344" s="392" t="s">
        <v>390</v>
      </c>
    </row>
    <row r="345" spans="1:3" x14ac:dyDescent="0.2">
      <c r="A345" s="398" t="s">
        <v>391</v>
      </c>
      <c r="B345" s="392" t="s">
        <v>392</v>
      </c>
      <c r="C345" s="392" t="s">
        <v>393</v>
      </c>
    </row>
    <row r="346" spans="1:3" x14ac:dyDescent="0.2">
      <c r="A346" s="398" t="s">
        <v>394</v>
      </c>
      <c r="B346" s="392" t="s">
        <v>395</v>
      </c>
      <c r="C346" s="392" t="s">
        <v>396</v>
      </c>
    </row>
    <row r="347" spans="1:3" x14ac:dyDescent="0.2">
      <c r="A347" s="398" t="s">
        <v>397</v>
      </c>
      <c r="B347" s="392" t="s">
        <v>398</v>
      </c>
      <c r="C347" s="392" t="s">
        <v>399</v>
      </c>
    </row>
    <row r="348" spans="1:3" x14ac:dyDescent="0.2">
      <c r="A348" s="398" t="s">
        <v>400</v>
      </c>
      <c r="B348" s="392" t="s">
        <v>401</v>
      </c>
      <c r="C348" s="392" t="s">
        <v>402</v>
      </c>
    </row>
    <row r="349" spans="1:3" x14ac:dyDescent="0.2">
      <c r="A349" s="398" t="s">
        <v>403</v>
      </c>
      <c r="B349" s="392" t="s">
        <v>404</v>
      </c>
      <c r="C349" s="392" t="s">
        <v>405</v>
      </c>
    </row>
    <row r="350" spans="1:3" x14ac:dyDescent="0.2">
      <c r="A350" s="398" t="s">
        <v>406</v>
      </c>
      <c r="B350" s="392" t="s">
        <v>407</v>
      </c>
      <c r="C350" s="392" t="s">
        <v>408</v>
      </c>
    </row>
    <row r="351" spans="1:3" x14ac:dyDescent="0.2">
      <c r="A351" s="398" t="s">
        <v>409</v>
      </c>
      <c r="B351" s="392" t="s">
        <v>1133</v>
      </c>
      <c r="C351" s="392" t="s">
        <v>410</v>
      </c>
    </row>
    <row r="352" spans="1:3" x14ac:dyDescent="0.2">
      <c r="A352" s="398" t="s">
        <v>411</v>
      </c>
      <c r="B352" s="392" t="s">
        <v>412</v>
      </c>
      <c r="C352" s="392" t="s">
        <v>413</v>
      </c>
    </row>
    <row r="353" spans="1:3" x14ac:dyDescent="0.2">
      <c r="A353" s="398" t="s">
        <v>414</v>
      </c>
      <c r="B353" s="392" t="s">
        <v>415</v>
      </c>
      <c r="C353" s="392" t="s">
        <v>416</v>
      </c>
    </row>
    <row r="354" spans="1:3" x14ac:dyDescent="0.2">
      <c r="A354" s="398" t="s">
        <v>352</v>
      </c>
      <c r="B354" s="392" t="s">
        <v>353</v>
      </c>
      <c r="C354" s="392" t="s">
        <v>354</v>
      </c>
    </row>
    <row r="355" spans="1:3" x14ac:dyDescent="0.2">
      <c r="A355" s="398" t="s">
        <v>417</v>
      </c>
      <c r="B355" s="392" t="s">
        <v>418</v>
      </c>
      <c r="C355" s="392" t="s">
        <v>419</v>
      </c>
    </row>
    <row r="356" spans="1:3" x14ac:dyDescent="0.2">
      <c r="A356" s="398" t="s">
        <v>372</v>
      </c>
      <c r="B356" s="392" t="s">
        <v>1130</v>
      </c>
      <c r="C356" s="392" t="s">
        <v>373</v>
      </c>
    </row>
    <row r="357" spans="1:3" x14ac:dyDescent="0.2">
      <c r="A357" s="398" t="s">
        <v>374</v>
      </c>
      <c r="B357" s="392" t="s">
        <v>375</v>
      </c>
      <c r="C357" s="392" t="s">
        <v>376</v>
      </c>
    </row>
    <row r="358" spans="1:3" x14ac:dyDescent="0.2">
      <c r="A358" s="398" t="s">
        <v>377</v>
      </c>
      <c r="B358" s="392" t="s">
        <v>1131</v>
      </c>
      <c r="C358" s="392" t="s">
        <v>420</v>
      </c>
    </row>
    <row r="359" spans="1:3" x14ac:dyDescent="0.2">
      <c r="A359" s="398" t="s">
        <v>379</v>
      </c>
      <c r="B359" s="392" t="s">
        <v>380</v>
      </c>
      <c r="C359" s="392" t="s">
        <v>381</v>
      </c>
    </row>
    <row r="360" spans="1:3" x14ac:dyDescent="0.2">
      <c r="A360" s="398" t="s">
        <v>421</v>
      </c>
      <c r="B360" s="392" t="s">
        <v>383</v>
      </c>
      <c r="C360" s="392" t="s">
        <v>422</v>
      </c>
    </row>
    <row r="361" spans="1:3" x14ac:dyDescent="0.2">
      <c r="A361" s="397" t="s">
        <v>423</v>
      </c>
      <c r="B361" s="392" t="s">
        <v>424</v>
      </c>
      <c r="C361" s="392" t="s">
        <v>424</v>
      </c>
    </row>
    <row r="362" spans="1:3" x14ac:dyDescent="0.2">
      <c r="A362" s="398" t="s">
        <v>425</v>
      </c>
      <c r="B362" s="392" t="s">
        <v>1134</v>
      </c>
      <c r="C362" s="392" t="s">
        <v>426</v>
      </c>
    </row>
    <row r="363" spans="1:3" x14ac:dyDescent="0.2">
      <c r="A363" s="398" t="s">
        <v>427</v>
      </c>
      <c r="B363" s="392" t="s">
        <v>428</v>
      </c>
      <c r="C363" s="392" t="s">
        <v>429</v>
      </c>
    </row>
    <row r="364" spans="1:3" x14ac:dyDescent="0.2">
      <c r="A364" s="398" t="s">
        <v>352</v>
      </c>
      <c r="B364" s="392" t="s">
        <v>353</v>
      </c>
      <c r="C364" s="392" t="s">
        <v>354</v>
      </c>
    </row>
    <row r="365" spans="1:3" x14ac:dyDescent="0.2">
      <c r="A365" s="398" t="s">
        <v>414</v>
      </c>
      <c r="B365" s="392" t="s">
        <v>415</v>
      </c>
      <c r="C365" s="392" t="s">
        <v>416</v>
      </c>
    </row>
    <row r="366" spans="1:3" x14ac:dyDescent="0.2">
      <c r="A366" s="398" t="s">
        <v>372</v>
      </c>
      <c r="B366" s="392" t="s">
        <v>1130</v>
      </c>
      <c r="C366" s="392" t="s">
        <v>373</v>
      </c>
    </row>
    <row r="367" spans="1:3" x14ac:dyDescent="0.2">
      <c r="A367" s="398" t="s">
        <v>430</v>
      </c>
      <c r="B367" s="392" t="s">
        <v>431</v>
      </c>
      <c r="C367" s="392" t="s">
        <v>432</v>
      </c>
    </row>
    <row r="368" spans="1:3" x14ac:dyDescent="0.2">
      <c r="A368" s="398" t="s">
        <v>433</v>
      </c>
      <c r="B368" s="392" t="s">
        <v>434</v>
      </c>
      <c r="C368" s="392" t="s">
        <v>435</v>
      </c>
    </row>
    <row r="369" spans="1:3" x14ac:dyDescent="0.2">
      <c r="A369" s="398" t="s">
        <v>374</v>
      </c>
      <c r="B369" s="392" t="s">
        <v>375</v>
      </c>
      <c r="C369" s="392" t="s">
        <v>376</v>
      </c>
    </row>
    <row r="370" spans="1:3" x14ac:dyDescent="0.2">
      <c r="A370" s="398" t="s">
        <v>436</v>
      </c>
      <c r="B370" s="392" t="s">
        <v>437</v>
      </c>
      <c r="C370" s="392" t="s">
        <v>438</v>
      </c>
    </row>
    <row r="371" spans="1:3" x14ac:dyDescent="0.2">
      <c r="A371" s="398" t="s">
        <v>439</v>
      </c>
      <c r="B371" s="392" t="s">
        <v>1135</v>
      </c>
      <c r="C371" s="392" t="s">
        <v>440</v>
      </c>
    </row>
    <row r="372" spans="1:3" x14ac:dyDescent="0.2">
      <c r="A372" s="398" t="s">
        <v>441</v>
      </c>
      <c r="B372" s="392" t="s">
        <v>442</v>
      </c>
      <c r="C372" s="392" t="s">
        <v>443</v>
      </c>
    </row>
    <row r="373" spans="1:3" x14ac:dyDescent="0.2">
      <c r="A373" s="398" t="s">
        <v>444</v>
      </c>
      <c r="B373" s="392" t="s">
        <v>445</v>
      </c>
      <c r="C373" s="392" t="s">
        <v>446</v>
      </c>
    </row>
    <row r="374" spans="1:3" x14ac:dyDescent="0.2">
      <c r="A374" s="398" t="s">
        <v>377</v>
      </c>
      <c r="B374" s="392" t="s">
        <v>1131</v>
      </c>
      <c r="C374" s="392" t="s">
        <v>447</v>
      </c>
    </row>
    <row r="375" spans="1:3" x14ac:dyDescent="0.2">
      <c r="A375" s="398" t="s">
        <v>448</v>
      </c>
      <c r="B375" s="392" t="s">
        <v>1136</v>
      </c>
      <c r="C375" s="392" t="s">
        <v>449</v>
      </c>
    </row>
    <row r="376" spans="1:3" x14ac:dyDescent="0.2">
      <c r="A376" s="398" t="s">
        <v>450</v>
      </c>
      <c r="B376" s="392" t="s">
        <v>1137</v>
      </c>
      <c r="C376" s="392" t="s">
        <v>451</v>
      </c>
    </row>
    <row r="377" spans="1:3" x14ac:dyDescent="0.2">
      <c r="A377" s="398" t="s">
        <v>452</v>
      </c>
      <c r="B377" s="392" t="s">
        <v>453</v>
      </c>
      <c r="C377" s="392" t="s">
        <v>454</v>
      </c>
    </row>
    <row r="378" spans="1:3" x14ac:dyDescent="0.2">
      <c r="A378" s="398" t="s">
        <v>379</v>
      </c>
      <c r="B378" s="392" t="s">
        <v>380</v>
      </c>
      <c r="C378" s="392" t="s">
        <v>381</v>
      </c>
    </row>
    <row r="379" spans="1:3" x14ac:dyDescent="0.2">
      <c r="A379" s="398" t="s">
        <v>421</v>
      </c>
      <c r="B379" s="392" t="s">
        <v>383</v>
      </c>
      <c r="C379" s="392" t="s">
        <v>422</v>
      </c>
    </row>
    <row r="380" spans="1:3" x14ac:dyDescent="0.2">
      <c r="A380" s="397" t="s">
        <v>455</v>
      </c>
      <c r="B380" s="392" t="s">
        <v>456</v>
      </c>
      <c r="C380" s="392" t="s">
        <v>457</v>
      </c>
    </row>
    <row r="381" spans="1:3" x14ac:dyDescent="0.2">
      <c r="A381" s="398" t="s">
        <v>458</v>
      </c>
      <c r="B381" s="392" t="s">
        <v>1138</v>
      </c>
      <c r="C381" s="392" t="s">
        <v>459</v>
      </c>
    </row>
    <row r="382" spans="1:3" x14ac:dyDescent="0.2">
      <c r="A382" s="398" t="s">
        <v>460</v>
      </c>
      <c r="B382" s="392" t="s">
        <v>1139</v>
      </c>
      <c r="C382" s="392" t="s">
        <v>461</v>
      </c>
    </row>
    <row r="383" spans="1:3" x14ac:dyDescent="0.2">
      <c r="A383" s="398" t="s">
        <v>462</v>
      </c>
      <c r="B383" s="392" t="s">
        <v>1140</v>
      </c>
      <c r="C383" s="392" t="s">
        <v>463</v>
      </c>
    </row>
    <row r="384" spans="1:3" x14ac:dyDescent="0.2">
      <c r="A384" s="398" t="s">
        <v>464</v>
      </c>
      <c r="B384" s="392" t="s">
        <v>1141</v>
      </c>
      <c r="C384" s="392" t="s">
        <v>465</v>
      </c>
    </row>
    <row r="385" spans="1:3" x14ac:dyDescent="0.2">
      <c r="A385" s="398" t="s">
        <v>466</v>
      </c>
      <c r="B385" s="392" t="s">
        <v>1142</v>
      </c>
      <c r="C385" s="392" t="s">
        <v>467</v>
      </c>
    </row>
    <row r="386" spans="1:3" x14ac:dyDescent="0.2">
      <c r="A386" s="398" t="s">
        <v>468</v>
      </c>
      <c r="B386" s="392" t="s">
        <v>469</v>
      </c>
      <c r="C386" s="392" t="s">
        <v>470</v>
      </c>
    </row>
    <row r="387" spans="1:3" x14ac:dyDescent="0.2">
      <c r="A387" s="398" t="s">
        <v>379</v>
      </c>
      <c r="B387" s="392" t="s">
        <v>380</v>
      </c>
      <c r="C387" s="392" t="s">
        <v>381</v>
      </c>
    </row>
    <row r="388" spans="1:3" x14ac:dyDescent="0.2">
      <c r="A388" s="398" t="s">
        <v>421</v>
      </c>
      <c r="B388" s="392" t="s">
        <v>383</v>
      </c>
      <c r="C388" s="392" t="s">
        <v>471</v>
      </c>
    </row>
    <row r="389" spans="1:3" x14ac:dyDescent="0.2">
      <c r="A389" s="397" t="s">
        <v>472</v>
      </c>
      <c r="B389" s="392" t="s">
        <v>473</v>
      </c>
      <c r="C389" s="392" t="s">
        <v>474</v>
      </c>
    </row>
    <row r="390" spans="1:3" x14ac:dyDescent="0.2">
      <c r="A390" s="398" t="s">
        <v>475</v>
      </c>
      <c r="B390" s="392" t="s">
        <v>1946</v>
      </c>
      <c r="C390" s="392" t="s">
        <v>476</v>
      </c>
    </row>
    <row r="391" spans="1:3" x14ac:dyDescent="0.2">
      <c r="A391" s="398" t="s">
        <v>477</v>
      </c>
      <c r="B391" s="392" t="s">
        <v>1143</v>
      </c>
      <c r="C391" s="392" t="s">
        <v>478</v>
      </c>
    </row>
    <row r="392" spans="1:3" x14ac:dyDescent="0.2">
      <c r="A392" s="398" t="s">
        <v>479</v>
      </c>
      <c r="B392" s="392" t="s">
        <v>1144</v>
      </c>
      <c r="C392" s="392" t="s">
        <v>480</v>
      </c>
    </row>
    <row r="393" spans="1:3" x14ac:dyDescent="0.2">
      <c r="A393" s="396" t="s">
        <v>481</v>
      </c>
      <c r="B393" s="392" t="s">
        <v>482</v>
      </c>
      <c r="C393" s="392" t="s">
        <v>483</v>
      </c>
    </row>
    <row r="394" spans="1:3" x14ac:dyDescent="0.2">
      <c r="A394" s="397" t="s">
        <v>481</v>
      </c>
      <c r="B394" s="392" t="s">
        <v>482</v>
      </c>
      <c r="C394" s="392" t="s">
        <v>483</v>
      </c>
    </row>
    <row r="395" spans="1:3" x14ac:dyDescent="0.2">
      <c r="A395" s="398" t="s">
        <v>484</v>
      </c>
      <c r="B395" s="392" t="s">
        <v>1145</v>
      </c>
      <c r="C395" s="392" t="s">
        <v>485</v>
      </c>
    </row>
    <row r="396" spans="1:3" x14ac:dyDescent="0.2">
      <c r="A396" s="398" t="s">
        <v>486</v>
      </c>
      <c r="B396" s="392" t="s">
        <v>1146</v>
      </c>
      <c r="C396" s="392" t="s">
        <v>487</v>
      </c>
    </row>
    <row r="397" spans="1:3" x14ac:dyDescent="0.2">
      <c r="A397" s="397" t="s">
        <v>488</v>
      </c>
      <c r="B397" s="392" t="s">
        <v>277</v>
      </c>
      <c r="C397" s="392" t="s">
        <v>277</v>
      </c>
    </row>
    <row r="398" spans="1:3" x14ac:dyDescent="0.2">
      <c r="A398" s="398" t="s">
        <v>489</v>
      </c>
      <c r="B398" s="392" t="s">
        <v>490</v>
      </c>
      <c r="C398" s="392" t="s">
        <v>491</v>
      </c>
    </row>
    <row r="399" spans="1:3" x14ac:dyDescent="0.2">
      <c r="A399" s="398" t="s">
        <v>492</v>
      </c>
      <c r="B399" s="392" t="s">
        <v>493</v>
      </c>
      <c r="C399" s="392" t="s">
        <v>494</v>
      </c>
    </row>
    <row r="400" spans="1:3" x14ac:dyDescent="0.2">
      <c r="A400" s="392" t="s">
        <v>500</v>
      </c>
      <c r="B400" s="422" t="s">
        <v>931</v>
      </c>
      <c r="C400" s="392" t="s">
        <v>499</v>
      </c>
    </row>
    <row r="401" spans="1:3" x14ac:dyDescent="0.2">
      <c r="A401" s="392" t="s">
        <v>41</v>
      </c>
      <c r="B401" s="422" t="s">
        <v>932</v>
      </c>
      <c r="C401" s="392" t="s">
        <v>496</v>
      </c>
    </row>
    <row r="402" spans="1:3" x14ac:dyDescent="0.2">
      <c r="A402" s="392" t="s">
        <v>497</v>
      </c>
      <c r="B402" s="422" t="s">
        <v>933</v>
      </c>
      <c r="C402" s="392" t="s">
        <v>498</v>
      </c>
    </row>
    <row r="404" spans="1:3" x14ac:dyDescent="0.2">
      <c r="A404" s="395" t="s">
        <v>514</v>
      </c>
      <c r="B404" s="395" t="str">
        <f>A404</f>
        <v>Blätter 1 bis 6</v>
      </c>
      <c r="C404" s="395" t="str">
        <f>B404</f>
        <v>Blätter 1 bis 6</v>
      </c>
    </row>
    <row r="405" spans="1:3" x14ac:dyDescent="0.2">
      <c r="A405" s="489" t="s">
        <v>1369</v>
      </c>
      <c r="B405" s="489" t="s">
        <v>1503</v>
      </c>
      <c r="C405" s="489" t="s">
        <v>1504</v>
      </c>
    </row>
    <row r="406" spans="1:3" x14ac:dyDescent="0.2">
      <c r="A406" s="392" t="s">
        <v>515</v>
      </c>
      <c r="B406" s="428" t="s">
        <v>934</v>
      </c>
      <c r="C406" s="17" t="s">
        <v>789</v>
      </c>
    </row>
    <row r="407" spans="1:3" x14ac:dyDescent="0.2">
      <c r="A407" s="396" t="s">
        <v>516</v>
      </c>
      <c r="B407" s="392" t="s">
        <v>788</v>
      </c>
      <c r="C407" s="392" t="s">
        <v>787</v>
      </c>
    </row>
    <row r="408" spans="1:3" x14ac:dyDescent="0.2">
      <c r="A408" s="399" t="s">
        <v>222</v>
      </c>
      <c r="B408" s="422" t="s">
        <v>935</v>
      </c>
      <c r="C408" s="392" t="s">
        <v>786</v>
      </c>
    </row>
    <row r="409" spans="1:3" x14ac:dyDescent="0.2">
      <c r="A409" s="396" t="s">
        <v>229</v>
      </c>
      <c r="B409" s="422" t="s">
        <v>936</v>
      </c>
      <c r="C409" s="392" t="s">
        <v>785</v>
      </c>
    </row>
    <row r="410" spans="1:3" x14ac:dyDescent="0.2">
      <c r="A410" s="396" t="s">
        <v>888</v>
      </c>
      <c r="B410" s="392" t="s">
        <v>889</v>
      </c>
      <c r="C410" s="392" t="s">
        <v>890</v>
      </c>
    </row>
    <row r="411" spans="1:3" x14ac:dyDescent="0.2">
      <c r="A411" s="396" t="s">
        <v>533</v>
      </c>
      <c r="B411" s="422" t="s">
        <v>943</v>
      </c>
      <c r="C411" s="392" t="s">
        <v>784</v>
      </c>
    </row>
    <row r="412" spans="1:3" x14ac:dyDescent="0.2">
      <c r="A412" s="396" t="s">
        <v>130</v>
      </c>
      <c r="B412" s="422" t="s">
        <v>316</v>
      </c>
      <c r="C412" s="392" t="s">
        <v>317</v>
      </c>
    </row>
    <row r="413" spans="1:3" x14ac:dyDescent="0.2">
      <c r="A413" s="1" t="s">
        <v>127</v>
      </c>
      <c r="B413" s="422" t="s">
        <v>127</v>
      </c>
      <c r="C413" s="392" t="s">
        <v>783</v>
      </c>
    </row>
    <row r="414" spans="1:3" x14ac:dyDescent="0.2">
      <c r="A414" s="1" t="s">
        <v>128</v>
      </c>
      <c r="B414" s="429" t="s">
        <v>937</v>
      </c>
      <c r="C414" s="392" t="s">
        <v>782</v>
      </c>
    </row>
    <row r="415" spans="1:3" x14ac:dyDescent="0.2">
      <c r="A415" s="1" t="s">
        <v>129</v>
      </c>
      <c r="B415" s="422" t="s">
        <v>780</v>
      </c>
      <c r="C415" s="392" t="s">
        <v>781</v>
      </c>
    </row>
    <row r="416" spans="1:3" x14ac:dyDescent="0.2">
      <c r="A416" s="399" t="s">
        <v>223</v>
      </c>
      <c r="B416" s="422" t="s">
        <v>938</v>
      </c>
      <c r="C416" s="392" t="s">
        <v>779</v>
      </c>
    </row>
    <row r="417" spans="1:13" x14ac:dyDescent="0.2">
      <c r="A417" s="1" t="s">
        <v>133</v>
      </c>
      <c r="B417" s="422" t="s">
        <v>777</v>
      </c>
      <c r="C417" s="392" t="s">
        <v>778</v>
      </c>
    </row>
    <row r="418" spans="1:13" ht="15.75" x14ac:dyDescent="0.3">
      <c r="A418" s="1" t="s">
        <v>1951</v>
      </c>
      <c r="B418" s="422" t="s">
        <v>939</v>
      </c>
      <c r="C418" s="392" t="s">
        <v>776</v>
      </c>
    </row>
    <row r="419" spans="1:13" x14ac:dyDescent="0.2">
      <c r="A419" s="392" t="s">
        <v>26</v>
      </c>
      <c r="B419" s="422" t="s">
        <v>940</v>
      </c>
      <c r="C419" s="392" t="s">
        <v>267</v>
      </c>
    </row>
    <row r="420" spans="1:13" x14ac:dyDescent="0.2">
      <c r="A420" s="392" t="s">
        <v>27</v>
      </c>
      <c r="B420" s="422" t="s">
        <v>941</v>
      </c>
      <c r="C420" s="392" t="s">
        <v>274</v>
      </c>
    </row>
    <row r="421" spans="1:13" x14ac:dyDescent="0.2">
      <c r="A421" s="392" t="s">
        <v>28</v>
      </c>
      <c r="B421" s="422" t="s">
        <v>942</v>
      </c>
      <c r="C421" s="392" t="s">
        <v>272</v>
      </c>
    </row>
    <row r="422" spans="1:13" s="408" customFormat="1" x14ac:dyDescent="0.2">
      <c r="A422" s="1">
        <f>IF('4.1'!$D$20&lt;&gt;"ja",0,IF(OR('START, DÉBUT, INIZIO'!$C$21=A420,'START, DÉBUT, INIZIO'!$C$21=A421),0.4,IF('START, DÉBUT, INIZIO'!$C$21=A419,0.25,"")))</f>
        <v>0</v>
      </c>
      <c r="B422" s="1">
        <f>IF('4.1'!$D$20&lt;&gt;"ja",0,IF(OR('START, DÉBUT, INIZIO'!$C$21=B420,'START, DÉBUT, INIZIO'!$C$21=B421),0.4,IF('START, DÉBUT, INIZIO'!$C$21=B419,0.25,"")))</f>
        <v>0</v>
      </c>
      <c r="C422" s="1">
        <f>IF('4.1'!$D$20&lt;&gt;"ja",0,IF(OR('START, DÉBUT, INIZIO'!$C$21=C420,'START, DÉBUT, INIZIO'!$C$21=C421),0.4,IF('START, DÉBUT, INIZIO'!$C$21=C419,0.25,"")))</f>
        <v>0</v>
      </c>
    </row>
    <row r="423" spans="1:13" x14ac:dyDescent="0.2">
      <c r="A423" s="1" t="s">
        <v>134</v>
      </c>
      <c r="B423" s="422" t="s">
        <v>944</v>
      </c>
      <c r="C423" t="s">
        <v>775</v>
      </c>
      <c r="D423" s="1"/>
      <c r="E423" s="1"/>
      <c r="F423" s="1"/>
      <c r="G423" s="1"/>
      <c r="H423" s="1"/>
      <c r="I423" s="1"/>
      <c r="J423" s="1"/>
      <c r="K423" s="1"/>
      <c r="L423" s="1"/>
      <c r="M423" s="1"/>
    </row>
    <row r="424" spans="1:13" x14ac:dyDescent="0.2">
      <c r="A424" s="1" t="s">
        <v>135</v>
      </c>
      <c r="B424" s="422" t="s">
        <v>945</v>
      </c>
      <c r="C424" t="s">
        <v>774</v>
      </c>
      <c r="D424" s="1"/>
      <c r="E424" s="1"/>
      <c r="F424" s="1"/>
      <c r="G424" s="1"/>
      <c r="H424" s="1"/>
      <c r="I424" s="1"/>
      <c r="J424" s="1"/>
      <c r="K424" s="1"/>
      <c r="L424" s="1"/>
      <c r="M424" s="1"/>
    </row>
    <row r="425" spans="1:13" x14ac:dyDescent="0.2">
      <c r="A425" s="1" t="s">
        <v>231</v>
      </c>
      <c r="B425" s="422" t="s">
        <v>1795</v>
      </c>
      <c r="C425" s="392" t="s">
        <v>773</v>
      </c>
      <c r="D425" s="1"/>
      <c r="E425" s="1"/>
      <c r="F425" s="1"/>
      <c r="G425" s="1"/>
      <c r="H425" s="1"/>
      <c r="I425" s="1"/>
      <c r="J425" s="1"/>
      <c r="K425" s="1"/>
      <c r="L425" s="1"/>
      <c r="M425" s="1"/>
    </row>
    <row r="426" spans="1:13" x14ac:dyDescent="0.2">
      <c r="A426" s="399" t="s">
        <v>224</v>
      </c>
      <c r="B426" s="422" t="s">
        <v>946</v>
      </c>
      <c r="C426" s="392" t="s">
        <v>772</v>
      </c>
    </row>
    <row r="427" spans="1:13" x14ac:dyDescent="0.2">
      <c r="A427" s="396" t="s">
        <v>230</v>
      </c>
      <c r="B427" s="422" t="s">
        <v>947</v>
      </c>
      <c r="C427" s="392" t="s">
        <v>771</v>
      </c>
    </row>
    <row r="428" spans="1:13" x14ac:dyDescent="0.2">
      <c r="A428" s="396" t="s">
        <v>136</v>
      </c>
      <c r="B428" s="422" t="s">
        <v>948</v>
      </c>
      <c r="C428" s="392" t="s">
        <v>770</v>
      </c>
    </row>
    <row r="429" spans="1:13" x14ac:dyDescent="0.2">
      <c r="A429" s="396" t="s">
        <v>869</v>
      </c>
      <c r="B429" s="422" t="s">
        <v>949</v>
      </c>
      <c r="C429" s="392" t="s">
        <v>870</v>
      </c>
    </row>
    <row r="430" spans="1:13" x14ac:dyDescent="0.2">
      <c r="A430" s="399" t="s">
        <v>137</v>
      </c>
      <c r="B430" s="422" t="s">
        <v>950</v>
      </c>
      <c r="C430" s="392" t="s">
        <v>642</v>
      </c>
    </row>
    <row r="431" spans="1:13" x14ac:dyDescent="0.2">
      <c r="A431" s="396" t="s">
        <v>168</v>
      </c>
      <c r="B431" s="422" t="s">
        <v>951</v>
      </c>
      <c r="C431" s="392" t="s">
        <v>769</v>
      </c>
    </row>
    <row r="432" spans="1:13" x14ac:dyDescent="0.2">
      <c r="A432" s="396" t="s">
        <v>517</v>
      </c>
      <c r="B432" s="422" t="s">
        <v>952</v>
      </c>
      <c r="C432" s="392" t="s">
        <v>768</v>
      </c>
    </row>
    <row r="433" spans="1:3" x14ac:dyDescent="0.2">
      <c r="A433" s="396" t="s">
        <v>167</v>
      </c>
      <c r="B433" s="422" t="s">
        <v>953</v>
      </c>
      <c r="C433" s="392" t="s">
        <v>767</v>
      </c>
    </row>
    <row r="434" spans="1:3" x14ac:dyDescent="0.2">
      <c r="A434" s="396" t="s">
        <v>232</v>
      </c>
      <c r="B434" s="422" t="s">
        <v>954</v>
      </c>
      <c r="C434" s="392" t="s">
        <v>642</v>
      </c>
    </row>
    <row r="435" spans="1:3" x14ac:dyDescent="0.2">
      <c r="A435" s="399" t="s">
        <v>138</v>
      </c>
      <c r="B435" s="422" t="s">
        <v>955</v>
      </c>
      <c r="C435" s="392" t="s">
        <v>766</v>
      </c>
    </row>
    <row r="436" spans="1:3" x14ac:dyDescent="0.2">
      <c r="A436" s="396" t="s">
        <v>158</v>
      </c>
      <c r="B436" s="422" t="s">
        <v>956</v>
      </c>
      <c r="C436" s="392" t="s">
        <v>765</v>
      </c>
    </row>
    <row r="437" spans="1:3" x14ac:dyDescent="0.2">
      <c r="A437" s="399" t="s">
        <v>225</v>
      </c>
      <c r="B437" s="422" t="s">
        <v>957</v>
      </c>
      <c r="C437" t="s">
        <v>764</v>
      </c>
    </row>
    <row r="438" spans="1:3" x14ac:dyDescent="0.2">
      <c r="A438" s="1" t="s">
        <v>174</v>
      </c>
      <c r="B438" s="422" t="s">
        <v>958</v>
      </c>
      <c r="C438" t="s">
        <v>763</v>
      </c>
    </row>
    <row r="439" spans="1:3" x14ac:dyDescent="0.2">
      <c r="A439" s="1" t="s">
        <v>175</v>
      </c>
      <c r="B439" s="422" t="s">
        <v>761</v>
      </c>
      <c r="C439" t="s">
        <v>762</v>
      </c>
    </row>
    <row r="440" spans="1:3" x14ac:dyDescent="0.2">
      <c r="A440" s="1" t="s">
        <v>176</v>
      </c>
      <c r="B440" s="422" t="s">
        <v>608</v>
      </c>
      <c r="C440" s="392" t="s">
        <v>609</v>
      </c>
    </row>
    <row r="441" spans="1:3" x14ac:dyDescent="0.2">
      <c r="A441" s="1" t="s">
        <v>177</v>
      </c>
      <c r="B441" s="422" t="s">
        <v>607</v>
      </c>
      <c r="C441" s="430" t="s">
        <v>606</v>
      </c>
    </row>
    <row r="442" spans="1:3" x14ac:dyDescent="0.2">
      <c r="A442" s="1" t="s">
        <v>879</v>
      </c>
      <c r="B442" s="422" t="s">
        <v>959</v>
      </c>
      <c r="C442" s="430" t="s">
        <v>880</v>
      </c>
    </row>
    <row r="443" spans="1:3" x14ac:dyDescent="0.2">
      <c r="A443" s="1" t="s">
        <v>180</v>
      </c>
      <c r="B443" s="422" t="s">
        <v>960</v>
      </c>
      <c r="C443" s="392" t="s">
        <v>760</v>
      </c>
    </row>
    <row r="444" spans="1:3" x14ac:dyDescent="0.2">
      <c r="A444" s="396" t="s">
        <v>189</v>
      </c>
      <c r="B444" s="422" t="s">
        <v>961</v>
      </c>
      <c r="C444" s="392" t="s">
        <v>702</v>
      </c>
    </row>
    <row r="445" spans="1:3" x14ac:dyDescent="0.2">
      <c r="A445" s="399" t="s">
        <v>139</v>
      </c>
      <c r="B445" s="422" t="s">
        <v>962</v>
      </c>
      <c r="C445" t="s">
        <v>263</v>
      </c>
    </row>
    <row r="446" spans="1:3" x14ac:dyDescent="0.2">
      <c r="A446" s="399" t="s">
        <v>855</v>
      </c>
      <c r="B446" s="422" t="s">
        <v>963</v>
      </c>
      <c r="C446" t="s">
        <v>856</v>
      </c>
    </row>
    <row r="447" spans="1:3" x14ac:dyDescent="0.2">
      <c r="A447" s="396" t="s">
        <v>518</v>
      </c>
      <c r="B447" s="422" t="s">
        <v>964</v>
      </c>
      <c r="C447" s="259" t="s">
        <v>758</v>
      </c>
    </row>
    <row r="448" spans="1:3" x14ac:dyDescent="0.2">
      <c r="A448" s="396" t="s">
        <v>519</v>
      </c>
      <c r="B448" s="422" t="s">
        <v>965</v>
      </c>
      <c r="C448" s="259" t="s">
        <v>759</v>
      </c>
    </row>
    <row r="449" spans="1:3" x14ac:dyDescent="0.2">
      <c r="A449" s="396" t="s">
        <v>140</v>
      </c>
      <c r="B449" s="422" t="s">
        <v>966</v>
      </c>
      <c r="C449" s="392" t="s">
        <v>757</v>
      </c>
    </row>
    <row r="450" spans="1:3" x14ac:dyDescent="0.2">
      <c r="A450" s="396" t="s">
        <v>233</v>
      </c>
      <c r="B450" s="422" t="s">
        <v>967</v>
      </c>
      <c r="C450" s="392" t="s">
        <v>756</v>
      </c>
    </row>
    <row r="451" spans="1:3" x14ac:dyDescent="0.2">
      <c r="A451" s="396" t="s">
        <v>857</v>
      </c>
      <c r="B451" s="422" t="s">
        <v>968</v>
      </c>
      <c r="C451" s="392" t="s">
        <v>858</v>
      </c>
    </row>
    <row r="452" spans="1:3" x14ac:dyDescent="0.2">
      <c r="A452" s="396" t="s">
        <v>520</v>
      </c>
      <c r="B452" s="422" t="s">
        <v>969</v>
      </c>
      <c r="C452" s="259" t="s">
        <v>755</v>
      </c>
    </row>
    <row r="453" spans="1:3" x14ac:dyDescent="0.2">
      <c r="A453" s="396" t="s">
        <v>521</v>
      </c>
      <c r="B453" s="422" t="s">
        <v>751</v>
      </c>
      <c r="C453" s="392" t="s">
        <v>750</v>
      </c>
    </row>
    <row r="454" spans="1:3" x14ac:dyDescent="0.2">
      <c r="A454" s="396" t="s">
        <v>522</v>
      </c>
      <c r="B454" s="422" t="s">
        <v>970</v>
      </c>
      <c r="C454" s="392" t="s">
        <v>753</v>
      </c>
    </row>
    <row r="455" spans="1:3" x14ac:dyDescent="0.2">
      <c r="A455" s="396" t="s">
        <v>523</v>
      </c>
      <c r="B455" s="422" t="s">
        <v>752</v>
      </c>
      <c r="C455" s="392" t="s">
        <v>754</v>
      </c>
    </row>
    <row r="456" spans="1:3" x14ac:dyDescent="0.2">
      <c r="A456" s="396" t="s">
        <v>188</v>
      </c>
      <c r="B456" s="422" t="s">
        <v>971</v>
      </c>
      <c r="C456" s="392" t="s">
        <v>749</v>
      </c>
    </row>
    <row r="457" spans="1:3" x14ac:dyDescent="0.2">
      <c r="A457" s="399" t="s">
        <v>194</v>
      </c>
      <c r="B457" s="422" t="s">
        <v>972</v>
      </c>
      <c r="C457" s="392" t="s">
        <v>710</v>
      </c>
    </row>
    <row r="458" spans="1:3" x14ac:dyDescent="0.2">
      <c r="A458" s="424" t="s">
        <v>531</v>
      </c>
      <c r="B458" s="422" t="s">
        <v>973</v>
      </c>
      <c r="C458" s="392" t="s">
        <v>748</v>
      </c>
    </row>
    <row r="459" spans="1:3" x14ac:dyDescent="0.2">
      <c r="A459" s="424" t="s">
        <v>532</v>
      </c>
      <c r="B459" s="422" t="s">
        <v>974</v>
      </c>
      <c r="C459" s="392" t="s">
        <v>747</v>
      </c>
    </row>
    <row r="460" spans="1:3" x14ac:dyDescent="0.2">
      <c r="A460" s="1" t="s">
        <v>143</v>
      </c>
      <c r="B460" s="422" t="s">
        <v>800</v>
      </c>
      <c r="C460" s="392" t="s">
        <v>746</v>
      </c>
    </row>
    <row r="461" spans="1:3" x14ac:dyDescent="0.2">
      <c r="A461" s="1" t="s">
        <v>146</v>
      </c>
      <c r="B461" s="422" t="s">
        <v>975</v>
      </c>
      <c r="C461" s="392" t="s">
        <v>745</v>
      </c>
    </row>
    <row r="462" spans="1:3" x14ac:dyDescent="0.2">
      <c r="A462" s="1" t="s">
        <v>144</v>
      </c>
      <c r="B462" s="422" t="s">
        <v>976</v>
      </c>
      <c r="C462" s="392" t="s">
        <v>744</v>
      </c>
    </row>
    <row r="463" spans="1:3" x14ac:dyDescent="0.2">
      <c r="A463" s="1" t="s">
        <v>145</v>
      </c>
      <c r="B463" s="422" t="s">
        <v>977</v>
      </c>
      <c r="C463" s="392" t="s">
        <v>270</v>
      </c>
    </row>
    <row r="464" spans="1:3" x14ac:dyDescent="0.2">
      <c r="A464" s="1" t="s">
        <v>149</v>
      </c>
      <c r="B464" s="422" t="s">
        <v>978</v>
      </c>
      <c r="C464" s="392" t="s">
        <v>743</v>
      </c>
    </row>
    <row r="465" spans="1:3" x14ac:dyDescent="0.2">
      <c r="A465" s="1" t="s">
        <v>150</v>
      </c>
      <c r="B465" s="422" t="s">
        <v>979</v>
      </c>
      <c r="C465" s="392" t="s">
        <v>742</v>
      </c>
    </row>
    <row r="466" spans="1:3" x14ac:dyDescent="0.2">
      <c r="A466" s="1" t="s">
        <v>147</v>
      </c>
      <c r="B466" s="422" t="s">
        <v>980</v>
      </c>
      <c r="C466" s="392" t="s">
        <v>741</v>
      </c>
    </row>
    <row r="467" spans="1:3" x14ac:dyDescent="0.2">
      <c r="A467" s="1" t="s">
        <v>151</v>
      </c>
      <c r="B467" s="422" t="s">
        <v>739</v>
      </c>
      <c r="C467" s="392" t="s">
        <v>740</v>
      </c>
    </row>
    <row r="468" spans="1:3" x14ac:dyDescent="0.2">
      <c r="A468" s="1" t="s">
        <v>152</v>
      </c>
      <c r="B468" s="422" t="s">
        <v>981</v>
      </c>
      <c r="C468" s="392" t="s">
        <v>738</v>
      </c>
    </row>
    <row r="469" spans="1:3" x14ac:dyDescent="0.2">
      <c r="A469" s="1" t="s">
        <v>153</v>
      </c>
      <c r="B469" s="422" t="s">
        <v>982</v>
      </c>
      <c r="C469" s="392" t="s">
        <v>737</v>
      </c>
    </row>
    <row r="470" spans="1:3" x14ac:dyDescent="0.2">
      <c r="A470" s="1" t="s">
        <v>142</v>
      </c>
      <c r="B470" s="422" t="s">
        <v>983</v>
      </c>
      <c r="C470" s="392" t="s">
        <v>710</v>
      </c>
    </row>
    <row r="471" spans="1:3" x14ac:dyDescent="0.2">
      <c r="A471" s="396" t="s">
        <v>525</v>
      </c>
      <c r="B471" s="422" t="s">
        <v>984</v>
      </c>
      <c r="C471" s="392" t="s">
        <v>735</v>
      </c>
    </row>
    <row r="472" spans="1:3" x14ac:dyDescent="0.2">
      <c r="A472" s="396" t="s">
        <v>524</v>
      </c>
      <c r="B472" s="422" t="s">
        <v>985</v>
      </c>
      <c r="C472" s="392" t="s">
        <v>734</v>
      </c>
    </row>
    <row r="473" spans="1:3" x14ac:dyDescent="0.2">
      <c r="A473" s="396" t="s">
        <v>736</v>
      </c>
      <c r="B473" s="422" t="s">
        <v>986</v>
      </c>
      <c r="C473" s="392" t="s">
        <v>733</v>
      </c>
    </row>
    <row r="474" spans="1:3" x14ac:dyDescent="0.2">
      <c r="A474" s="397" t="str">
        <f>CONCATENATE(A471,Vorgaben!$C$2-5,A472,Vorgaben!$C$2-2,A473)</f>
        <v>(Durchschnitt über den Handelszeitraum Q4 2021 bis Q3 2024, siehe Blatt 'Termin &amp; FX')</v>
      </c>
      <c r="B474" s="397" t="str">
        <f>CONCATENATE(B471,Vorgaben!$C$2-5,B472,Vorgaben!$C$2-2,B473)</f>
        <v>(Moyenne de la période de négoce T4 2021 à T3 2024, voir onglet "Termin &amp; FX")</v>
      </c>
      <c r="C474" s="397" t="str">
        <f>CONCATENATE(C471,Vorgaben!$C$2-5,C472,Vorgaben!$C$2-2,C473)</f>
        <v>(Media nel periodo di negoziazione T4 2021 fino al T3 2024, vedi pagina “Termin &amp; FX”)</v>
      </c>
    </row>
    <row r="475" spans="1:3" x14ac:dyDescent="0.2">
      <c r="A475" s="396" t="s">
        <v>154</v>
      </c>
      <c r="B475" s="422" t="s">
        <v>987</v>
      </c>
      <c r="C475" s="392" t="s">
        <v>732</v>
      </c>
    </row>
    <row r="476" spans="1:3" x14ac:dyDescent="0.2">
      <c r="A476" s="399" t="s">
        <v>226</v>
      </c>
      <c r="B476" s="422" t="s">
        <v>988</v>
      </c>
      <c r="C476" s="392" t="s">
        <v>731</v>
      </c>
    </row>
    <row r="477" spans="1:3" x14ac:dyDescent="0.2">
      <c r="A477" s="1" t="s">
        <v>105</v>
      </c>
      <c r="B477" s="422" t="s">
        <v>989</v>
      </c>
      <c r="C477" s="392" t="s">
        <v>730</v>
      </c>
    </row>
    <row r="478" spans="1:3" x14ac:dyDescent="0.2">
      <c r="A478" s="4" t="s">
        <v>156</v>
      </c>
      <c r="B478" s="422" t="s">
        <v>990</v>
      </c>
      <c r="C478" s="392" t="s">
        <v>729</v>
      </c>
    </row>
    <row r="479" spans="1:3" x14ac:dyDescent="0.2">
      <c r="A479" s="1" t="s">
        <v>157</v>
      </c>
      <c r="B479" s="422" t="s">
        <v>719</v>
      </c>
      <c r="C479" s="392" t="s">
        <v>718</v>
      </c>
    </row>
    <row r="480" spans="1:3" x14ac:dyDescent="0.2">
      <c r="A480" s="396" t="s">
        <v>723</v>
      </c>
      <c r="B480" s="422" t="s">
        <v>991</v>
      </c>
      <c r="C480" s="392" t="s">
        <v>724</v>
      </c>
    </row>
    <row r="481" spans="1:3" x14ac:dyDescent="0.2">
      <c r="A481" s="396" t="s">
        <v>73</v>
      </c>
      <c r="B481" s="422" t="s">
        <v>725</v>
      </c>
      <c r="C481" s="392" t="s">
        <v>725</v>
      </c>
    </row>
    <row r="482" spans="1:3" x14ac:dyDescent="0.2">
      <c r="A482" s="396" t="s">
        <v>75</v>
      </c>
      <c r="B482" s="422" t="s">
        <v>728</v>
      </c>
      <c r="C482" s="392" t="s">
        <v>728</v>
      </c>
    </row>
    <row r="483" spans="1:3" x14ac:dyDescent="0.2">
      <c r="A483" s="396" t="s">
        <v>77</v>
      </c>
      <c r="B483" s="422" t="s">
        <v>726</v>
      </c>
      <c r="C483" s="392" t="s">
        <v>727</v>
      </c>
    </row>
    <row r="484" spans="1:3" x14ac:dyDescent="0.2">
      <c r="A484" s="396" t="str">
        <f>IF(AND('START, DÉBUT, INIZIO'!$C$20=A739,'START, DÉBUT, INIZIO'!$C$21=A744),A482,IF(AND('START, DÉBUT, INIZIO'!$C$20=A739,'START, DÉBUT, INIZIO'!$C$21=A745),A483,A481))</f>
        <v>NST</v>
      </c>
      <c r="B484" s="392" t="str">
        <f>IF(AND('START, DÉBUT, INIZIO'!$C$20=B739,'START, DÉBUT, INIZIO'!$C$21=B744),B482,IF(AND('START, DÉBUT, INIZIO'!$C$20=B739,'START, DÉBUT, INIZIO'!$C$21=B745),B483,B481))</f>
        <v>nCo</v>
      </c>
      <c r="C484" s="392" t="str">
        <f>IF(AND('START, DÉBUT, INIZIO'!$C$20=C739,'START, DÉBUT, INIZIO'!$C$21=C744),C482,IF(AND('START, DÉBUT, INIZIO'!$C$20=C739,'START, DÉBUT, INIZIO'!$C$21=C745),C483,C481))</f>
        <v>nCo</v>
      </c>
    </row>
    <row r="485" spans="1:3" x14ac:dyDescent="0.2">
      <c r="A485" s="396" t="s">
        <v>159</v>
      </c>
      <c r="B485" s="422" t="s">
        <v>992</v>
      </c>
      <c r="C485" s="392" t="s">
        <v>722</v>
      </c>
    </row>
    <row r="486" spans="1:3" x14ac:dyDescent="0.2">
      <c r="A486" s="399" t="s">
        <v>227</v>
      </c>
      <c r="B486" s="422" t="s">
        <v>993</v>
      </c>
      <c r="C486" s="392" t="s">
        <v>721</v>
      </c>
    </row>
    <row r="487" spans="1:3" x14ac:dyDescent="0.2">
      <c r="A487" s="1" t="s">
        <v>160</v>
      </c>
      <c r="B487" s="422" t="s">
        <v>921</v>
      </c>
      <c r="C487" s="392" t="s">
        <v>720</v>
      </c>
    </row>
    <row r="488" spans="1:3" x14ac:dyDescent="0.2">
      <c r="A488" s="1" t="s">
        <v>157</v>
      </c>
      <c r="B488" s="422" t="s">
        <v>719</v>
      </c>
      <c r="C488" s="392" t="s">
        <v>718</v>
      </c>
    </row>
    <row r="489" spans="1:3" x14ac:dyDescent="0.2">
      <c r="A489" s="396" t="s">
        <v>165</v>
      </c>
      <c r="B489" s="422" t="s">
        <v>994</v>
      </c>
      <c r="C489" s="392" t="s">
        <v>717</v>
      </c>
    </row>
    <row r="490" spans="1:3" x14ac:dyDescent="0.2">
      <c r="A490" s="399" t="s">
        <v>228</v>
      </c>
      <c r="B490" s="422" t="s">
        <v>995</v>
      </c>
      <c r="C490" s="392" t="s">
        <v>716</v>
      </c>
    </row>
    <row r="491" spans="1:3" x14ac:dyDescent="0.2">
      <c r="A491" s="1" t="s">
        <v>162</v>
      </c>
      <c r="B491" s="422" t="s">
        <v>996</v>
      </c>
      <c r="C491" s="392" t="s">
        <v>715</v>
      </c>
    </row>
    <row r="492" spans="1:3" x14ac:dyDescent="0.2">
      <c r="A492" s="1" t="s">
        <v>83</v>
      </c>
      <c r="B492" s="422" t="s">
        <v>997</v>
      </c>
      <c r="C492" s="392" t="s">
        <v>583</v>
      </c>
    </row>
    <row r="493" spans="1:3" x14ac:dyDescent="0.2">
      <c r="A493" s="1" t="s">
        <v>163</v>
      </c>
      <c r="B493" s="422" t="s">
        <v>998</v>
      </c>
      <c r="C493" s="392" t="s">
        <v>714</v>
      </c>
    </row>
    <row r="494" spans="1:3" x14ac:dyDescent="0.2">
      <c r="A494" s="1" t="s">
        <v>84</v>
      </c>
      <c r="B494" s="422" t="s">
        <v>999</v>
      </c>
      <c r="C494" s="392" t="s">
        <v>582</v>
      </c>
    </row>
    <row r="495" spans="1:3" x14ac:dyDescent="0.2">
      <c r="A495" s="396" t="s">
        <v>164</v>
      </c>
      <c r="B495" s="422" t="s">
        <v>1000</v>
      </c>
      <c r="C495" s="392" t="s">
        <v>713</v>
      </c>
    </row>
    <row r="496" spans="1:3" x14ac:dyDescent="0.2">
      <c r="A496" s="399" t="s">
        <v>170</v>
      </c>
      <c r="B496" s="422" t="s">
        <v>697</v>
      </c>
      <c r="C496" s="392" t="s">
        <v>695</v>
      </c>
    </row>
    <row r="497" spans="1:3" x14ac:dyDescent="0.2">
      <c r="A497" s="396" t="s">
        <v>190</v>
      </c>
      <c r="B497" s="422" t="s">
        <v>1001</v>
      </c>
      <c r="C497" s="392" t="s">
        <v>706</v>
      </c>
    </row>
    <row r="498" spans="1:3" ht="25.5" x14ac:dyDescent="0.2">
      <c r="A498" s="310" t="s">
        <v>865</v>
      </c>
      <c r="B498" s="421" t="s">
        <v>1002</v>
      </c>
      <c r="C498" s="421" t="s">
        <v>866</v>
      </c>
    </row>
    <row r="499" spans="1:3" x14ac:dyDescent="0.2">
      <c r="A499" s="1" t="s">
        <v>187</v>
      </c>
      <c r="B499" s="422" t="s">
        <v>1003</v>
      </c>
      <c r="C499" s="392" t="s">
        <v>660</v>
      </c>
    </row>
    <row r="500" spans="1:3" x14ac:dyDescent="0.2">
      <c r="A500" s="1" t="s">
        <v>234</v>
      </c>
      <c r="B500" s="422" t="s">
        <v>1004</v>
      </c>
      <c r="C500" s="392" t="s">
        <v>712</v>
      </c>
    </row>
    <row r="501" spans="1:3" x14ac:dyDescent="0.2">
      <c r="A501" s="1" t="s">
        <v>861</v>
      </c>
      <c r="B501" s="422" t="s">
        <v>1005</v>
      </c>
      <c r="C501" s="392" t="s">
        <v>862</v>
      </c>
    </row>
    <row r="502" spans="1:3" x14ac:dyDescent="0.2">
      <c r="A502" s="1" t="s">
        <v>235</v>
      </c>
      <c r="B502" s="422" t="s">
        <v>1006</v>
      </c>
      <c r="C502" s="392" t="s">
        <v>711</v>
      </c>
    </row>
    <row r="503" spans="1:3" x14ac:dyDescent="0.2">
      <c r="A503" s="1" t="s">
        <v>859</v>
      </c>
      <c r="B503" s="422" t="s">
        <v>1007</v>
      </c>
      <c r="C503" s="392" t="s">
        <v>860</v>
      </c>
    </row>
    <row r="504" spans="1:3" x14ac:dyDescent="0.2">
      <c r="A504" s="1" t="s">
        <v>171</v>
      </c>
      <c r="B504" s="422" t="s">
        <v>983</v>
      </c>
      <c r="C504" s="392" t="s">
        <v>710</v>
      </c>
    </row>
    <row r="505" spans="1:3" x14ac:dyDescent="0.2">
      <c r="A505" s="1" t="s">
        <v>172</v>
      </c>
      <c r="B505" s="422" t="s">
        <v>1008</v>
      </c>
      <c r="C505" s="392" t="s">
        <v>709</v>
      </c>
    </row>
    <row r="506" spans="1:3" x14ac:dyDescent="0.2">
      <c r="A506" s="1" t="s">
        <v>173</v>
      </c>
      <c r="B506" s="422" t="s">
        <v>1009</v>
      </c>
      <c r="C506" s="392" t="s">
        <v>266</v>
      </c>
    </row>
    <row r="507" spans="1:3" x14ac:dyDescent="0.2">
      <c r="A507" s="1" t="s">
        <v>161</v>
      </c>
      <c r="B507" s="422" t="s">
        <v>264</v>
      </c>
      <c r="C507" s="392" t="s">
        <v>265</v>
      </c>
    </row>
    <row r="508" spans="1:3" x14ac:dyDescent="0.2">
      <c r="A508" s="1" t="s">
        <v>526</v>
      </c>
      <c r="B508" s="422" t="s">
        <v>708</v>
      </c>
      <c r="C508" s="392" t="s">
        <v>707</v>
      </c>
    </row>
    <row r="509" spans="1:3" x14ac:dyDescent="0.2">
      <c r="A509" s="396" t="s">
        <v>183</v>
      </c>
      <c r="B509" s="422" t="s">
        <v>1010</v>
      </c>
      <c r="C509" s="392" t="s">
        <v>706</v>
      </c>
    </row>
    <row r="510" spans="1:3" x14ac:dyDescent="0.2">
      <c r="A510" s="396" t="s">
        <v>182</v>
      </c>
      <c r="B510" s="422" t="s">
        <v>1011</v>
      </c>
      <c r="C510" s="392" t="s">
        <v>703</v>
      </c>
    </row>
    <row r="511" spans="1:3" x14ac:dyDescent="0.2">
      <c r="A511" s="396" t="s">
        <v>169</v>
      </c>
      <c r="B511" s="422" t="s">
        <v>704</v>
      </c>
      <c r="C511" s="392" t="s">
        <v>705</v>
      </c>
    </row>
    <row r="512" spans="1:3" x14ac:dyDescent="0.2">
      <c r="A512" s="396" t="s">
        <v>131</v>
      </c>
      <c r="B512" s="422" t="s">
        <v>1012</v>
      </c>
      <c r="C512" s="392" t="s">
        <v>638</v>
      </c>
    </row>
    <row r="513" spans="1:3" x14ac:dyDescent="0.2">
      <c r="A513" s="396" t="s">
        <v>141</v>
      </c>
      <c r="B513" s="422" t="s">
        <v>1013</v>
      </c>
      <c r="C513" s="392" t="s">
        <v>261</v>
      </c>
    </row>
    <row r="514" spans="1:3" x14ac:dyDescent="0.2">
      <c r="A514" s="396" t="s">
        <v>137</v>
      </c>
      <c r="B514" s="422" t="s">
        <v>950</v>
      </c>
      <c r="C514" s="392" t="s">
        <v>642</v>
      </c>
    </row>
    <row r="515" spans="1:3" x14ac:dyDescent="0.2">
      <c r="A515" s="396" t="s">
        <v>138</v>
      </c>
      <c r="B515" s="422" t="s">
        <v>955</v>
      </c>
      <c r="C515" s="392" t="s">
        <v>641</v>
      </c>
    </row>
    <row r="516" spans="1:3" x14ac:dyDescent="0.2">
      <c r="A516" s="396" t="s">
        <v>181</v>
      </c>
      <c r="B516" s="422" t="s">
        <v>961</v>
      </c>
      <c r="C516" s="392" t="s">
        <v>702</v>
      </c>
    </row>
    <row r="517" spans="1:3" x14ac:dyDescent="0.2">
      <c r="A517" s="396" t="s">
        <v>193</v>
      </c>
      <c r="B517" s="422" t="s">
        <v>701</v>
      </c>
      <c r="C517" s="392" t="s">
        <v>700</v>
      </c>
    </row>
    <row r="518" spans="1:3" x14ac:dyDescent="0.2">
      <c r="A518" s="420" t="s">
        <v>527</v>
      </c>
      <c r="B518" s="422" t="s">
        <v>698</v>
      </c>
      <c r="C518" s="392" t="s">
        <v>699</v>
      </c>
    </row>
    <row r="519" spans="1:3" x14ac:dyDescent="0.2">
      <c r="A519" s="396" t="s">
        <v>170</v>
      </c>
      <c r="B519" s="422" t="s">
        <v>1014</v>
      </c>
      <c r="C519" s="392" t="s">
        <v>695</v>
      </c>
    </row>
    <row r="520" spans="1:3" x14ac:dyDescent="0.2">
      <c r="A520" s="396" t="s">
        <v>528</v>
      </c>
      <c r="B520" s="422" t="s">
        <v>1015</v>
      </c>
      <c r="C520" s="392" t="s">
        <v>694</v>
      </c>
    </row>
    <row r="521" spans="1:3" x14ac:dyDescent="0.2">
      <c r="A521" s="396" t="s">
        <v>529</v>
      </c>
      <c r="B521" s="422" t="s">
        <v>1016</v>
      </c>
      <c r="C521" s="392" t="s">
        <v>696</v>
      </c>
    </row>
    <row r="522" spans="1:3" x14ac:dyDescent="0.2">
      <c r="A522" s="399" t="s">
        <v>693</v>
      </c>
      <c r="B522" s="422" t="s">
        <v>1017</v>
      </c>
      <c r="C522" s="392" t="s">
        <v>268</v>
      </c>
    </row>
    <row r="523" spans="1:3" s="432" customFormat="1" x14ac:dyDescent="0.2">
      <c r="A523" s="431" t="s">
        <v>196</v>
      </c>
      <c r="B523" s="429" t="s">
        <v>1018</v>
      </c>
      <c r="C523" s="432" t="s">
        <v>262</v>
      </c>
    </row>
    <row r="524" spans="1:3" s="432" customFormat="1" x14ac:dyDescent="0.2">
      <c r="A524" s="431" t="s">
        <v>197</v>
      </c>
      <c r="B524" s="429" t="s">
        <v>1019</v>
      </c>
      <c r="C524" s="432" t="s">
        <v>692</v>
      </c>
    </row>
    <row r="525" spans="1:3" s="432" customFormat="1" x14ac:dyDescent="0.2">
      <c r="A525" s="431" t="s">
        <v>245</v>
      </c>
      <c r="B525" s="429" t="s">
        <v>1034</v>
      </c>
      <c r="C525" s="432" t="s">
        <v>666</v>
      </c>
    </row>
    <row r="526" spans="1:3" s="432" customFormat="1" x14ac:dyDescent="0.2">
      <c r="A526" s="431" t="s">
        <v>244</v>
      </c>
      <c r="B526" s="429" t="s">
        <v>1021</v>
      </c>
      <c r="C526" s="432" t="s">
        <v>665</v>
      </c>
    </row>
    <row r="527" spans="1:3" s="432" customFormat="1" x14ac:dyDescent="0.2">
      <c r="A527" s="431" t="s">
        <v>13</v>
      </c>
      <c r="B527" s="429" t="s">
        <v>1022</v>
      </c>
      <c r="C527" s="432" t="s">
        <v>646</v>
      </c>
    </row>
    <row r="528" spans="1:3" s="432" customFormat="1" x14ac:dyDescent="0.2">
      <c r="A528" s="431" t="s">
        <v>14</v>
      </c>
      <c r="B528" s="429" t="s">
        <v>1023</v>
      </c>
      <c r="C528" s="432" t="s">
        <v>645</v>
      </c>
    </row>
    <row r="529" spans="1:3" s="432" customFormat="1" x14ac:dyDescent="0.2">
      <c r="A529" s="431" t="s">
        <v>15</v>
      </c>
      <c r="B529" s="429" t="s">
        <v>1024</v>
      </c>
      <c r="C529" s="432" t="s">
        <v>269</v>
      </c>
    </row>
    <row r="530" spans="1:3" s="432" customFormat="1" x14ac:dyDescent="0.2">
      <c r="A530" s="431" t="s">
        <v>16</v>
      </c>
      <c r="B530" s="429" t="s">
        <v>1025</v>
      </c>
      <c r="C530" s="432" t="s">
        <v>276</v>
      </c>
    </row>
    <row r="531" spans="1:3" s="432" customFormat="1" x14ac:dyDescent="0.2">
      <c r="A531" s="431" t="s">
        <v>198</v>
      </c>
      <c r="B531" s="429" t="s">
        <v>643</v>
      </c>
      <c r="C531" s="432" t="s">
        <v>644</v>
      </c>
    </row>
    <row r="532" spans="1:3" s="432" customFormat="1" x14ac:dyDescent="0.2">
      <c r="A532" s="431" t="s">
        <v>137</v>
      </c>
      <c r="B532" s="429" t="s">
        <v>950</v>
      </c>
      <c r="C532" s="432" t="s">
        <v>642</v>
      </c>
    </row>
    <row r="533" spans="1:3" s="432" customFormat="1" x14ac:dyDescent="0.2">
      <c r="A533" s="431" t="s">
        <v>138</v>
      </c>
      <c r="B533" s="429" t="s">
        <v>955</v>
      </c>
      <c r="C533" s="432" t="s">
        <v>641</v>
      </c>
    </row>
    <row r="534" spans="1:3" s="432" customFormat="1" x14ac:dyDescent="0.2">
      <c r="A534" s="431" t="s">
        <v>212</v>
      </c>
      <c r="B534" s="429" t="s">
        <v>639</v>
      </c>
      <c r="C534" s="432" t="s">
        <v>640</v>
      </c>
    </row>
    <row r="535" spans="1:3" s="432" customFormat="1" x14ac:dyDescent="0.2">
      <c r="A535" s="431" t="s">
        <v>131</v>
      </c>
      <c r="B535" s="429" t="s">
        <v>1026</v>
      </c>
      <c r="C535" s="432" t="s">
        <v>638</v>
      </c>
    </row>
    <row r="536" spans="1:3" s="432" customFormat="1" x14ac:dyDescent="0.2">
      <c r="A536" s="431" t="s">
        <v>248</v>
      </c>
      <c r="B536" s="429" t="s">
        <v>1027</v>
      </c>
      <c r="C536" s="432" t="s">
        <v>637</v>
      </c>
    </row>
    <row r="537" spans="1:3" s="432" customFormat="1" x14ac:dyDescent="0.2">
      <c r="A537" s="431" t="s">
        <v>1179</v>
      </c>
      <c r="B537" s="429" t="s">
        <v>1200</v>
      </c>
      <c r="C537" s="432" t="s">
        <v>1202</v>
      </c>
    </row>
    <row r="538" spans="1:3" s="432" customFormat="1" x14ac:dyDescent="0.2">
      <c r="A538" s="447" t="s">
        <v>195</v>
      </c>
      <c r="B538" s="429" t="s">
        <v>1017</v>
      </c>
      <c r="C538" s="432" t="s">
        <v>268</v>
      </c>
    </row>
    <row r="539" spans="1:3" s="432" customFormat="1" x14ac:dyDescent="0.2">
      <c r="A539" s="431" t="s">
        <v>199</v>
      </c>
      <c r="B539" s="429" t="s">
        <v>199</v>
      </c>
      <c r="C539" s="11" t="s">
        <v>199</v>
      </c>
    </row>
    <row r="540" spans="1:3" s="432" customFormat="1" x14ac:dyDescent="0.2">
      <c r="A540" s="431" t="s">
        <v>200</v>
      </c>
      <c r="B540" s="429" t="s">
        <v>1028</v>
      </c>
      <c r="C540" s="433" t="s">
        <v>691</v>
      </c>
    </row>
    <row r="541" spans="1:3" s="432" customFormat="1" x14ac:dyDescent="0.2">
      <c r="A541" s="431" t="s">
        <v>204</v>
      </c>
      <c r="B541" s="429" t="s">
        <v>204</v>
      </c>
      <c r="C541" s="11" t="s">
        <v>204</v>
      </c>
    </row>
    <row r="542" spans="1:3" s="432" customFormat="1" x14ac:dyDescent="0.2">
      <c r="A542" s="431" t="s">
        <v>177</v>
      </c>
      <c r="B542" s="429" t="s">
        <v>607</v>
      </c>
      <c r="C542" s="433" t="s">
        <v>606</v>
      </c>
    </row>
    <row r="543" spans="1:3" s="432" customFormat="1" x14ac:dyDescent="0.2">
      <c r="A543" s="431" t="s">
        <v>205</v>
      </c>
      <c r="B543" s="429" t="s">
        <v>205</v>
      </c>
      <c r="C543" s="11" t="s">
        <v>205</v>
      </c>
    </row>
    <row r="544" spans="1:3" s="432" customFormat="1" x14ac:dyDescent="0.2">
      <c r="A544" s="431" t="s">
        <v>206</v>
      </c>
      <c r="B544" s="429" t="s">
        <v>1029</v>
      </c>
      <c r="C544" s="433" t="s">
        <v>647</v>
      </c>
    </row>
    <row r="545" spans="1:3" s="432" customFormat="1" x14ac:dyDescent="0.2">
      <c r="A545" s="431" t="s">
        <v>207</v>
      </c>
      <c r="B545" s="429" t="s">
        <v>1030</v>
      </c>
      <c r="C545" s="433" t="s">
        <v>690</v>
      </c>
    </row>
    <row r="546" spans="1:3" s="432" customFormat="1" x14ac:dyDescent="0.2">
      <c r="A546" s="431" t="s">
        <v>208</v>
      </c>
      <c r="B546" s="429" t="s">
        <v>208</v>
      </c>
      <c r="C546" s="11" t="s">
        <v>208</v>
      </c>
    </row>
    <row r="547" spans="1:3" s="432" customFormat="1" x14ac:dyDescent="0.2">
      <c r="A547" s="431" t="s">
        <v>176</v>
      </c>
      <c r="B547" s="429" t="s">
        <v>1031</v>
      </c>
      <c r="C547" s="432" t="s">
        <v>609</v>
      </c>
    </row>
    <row r="548" spans="1:3" s="432" customFormat="1" x14ac:dyDescent="0.2">
      <c r="A548" s="431" t="s">
        <v>209</v>
      </c>
      <c r="B548" s="429" t="s">
        <v>1032</v>
      </c>
      <c r="C548" s="432" t="s">
        <v>631</v>
      </c>
    </row>
    <row r="549" spans="1:3" s="432" customFormat="1" x14ac:dyDescent="0.2">
      <c r="A549" s="434" t="s">
        <v>260</v>
      </c>
      <c r="B549" s="429" t="s">
        <v>1033</v>
      </c>
      <c r="C549" s="433" t="s">
        <v>1035</v>
      </c>
    </row>
    <row r="550" spans="1:3" x14ac:dyDescent="0.2">
      <c r="A550" s="396" t="s">
        <v>210</v>
      </c>
      <c r="B550" s="422" t="s">
        <v>1036</v>
      </c>
      <c r="C550" s="392" t="s">
        <v>689</v>
      </c>
    </row>
    <row r="551" spans="1:3" x14ac:dyDescent="0.2">
      <c r="A551" s="399" t="s">
        <v>191</v>
      </c>
      <c r="B551" s="422" t="s">
        <v>1037</v>
      </c>
      <c r="C551" s="392" t="s">
        <v>688</v>
      </c>
    </row>
    <row r="552" spans="1:3" x14ac:dyDescent="0.2">
      <c r="A552" s="396" t="s">
        <v>211</v>
      </c>
      <c r="B552" s="422" t="s">
        <v>1038</v>
      </c>
      <c r="C552" s="392" t="s">
        <v>670</v>
      </c>
    </row>
    <row r="553" spans="1:3" x14ac:dyDescent="0.2">
      <c r="A553" s="396" t="s">
        <v>212</v>
      </c>
      <c r="B553" s="422" t="s">
        <v>639</v>
      </c>
      <c r="C553" s="392" t="s">
        <v>640</v>
      </c>
    </row>
    <row r="554" spans="1:3" x14ac:dyDescent="0.2">
      <c r="A554" s="396" t="s">
        <v>131</v>
      </c>
      <c r="B554" s="422" t="s">
        <v>1026</v>
      </c>
      <c r="C554" s="392" t="s">
        <v>638</v>
      </c>
    </row>
    <row r="555" spans="1:3" x14ac:dyDescent="0.2">
      <c r="A555" s="396" t="s">
        <v>141</v>
      </c>
      <c r="B555" s="422" t="s">
        <v>1039</v>
      </c>
      <c r="C555" s="392" t="s">
        <v>261</v>
      </c>
    </row>
    <row r="556" spans="1:3" x14ac:dyDescent="0.2">
      <c r="A556" s="396" t="s">
        <v>137</v>
      </c>
      <c r="B556" s="422" t="s">
        <v>950</v>
      </c>
      <c r="C556" s="392" t="s">
        <v>642</v>
      </c>
    </row>
    <row r="557" spans="1:3" x14ac:dyDescent="0.2">
      <c r="A557" s="396" t="s">
        <v>138</v>
      </c>
      <c r="B557" s="422" t="s">
        <v>955</v>
      </c>
      <c r="C557" s="392" t="s">
        <v>641</v>
      </c>
    </row>
    <row r="558" spans="1:3" x14ac:dyDescent="0.2">
      <c r="A558" s="396" t="s">
        <v>206</v>
      </c>
      <c r="B558" s="422" t="s">
        <v>1029</v>
      </c>
      <c r="C558" s="430" t="s">
        <v>647</v>
      </c>
    </row>
    <row r="559" spans="1:3" x14ac:dyDescent="0.2">
      <c r="A559" s="396" t="s">
        <v>214</v>
      </c>
      <c r="B559" s="422" t="s">
        <v>1030</v>
      </c>
      <c r="C559" s="392" t="s">
        <v>669</v>
      </c>
    </row>
    <row r="560" spans="1:3" x14ac:dyDescent="0.2">
      <c r="A560" s="396" t="s">
        <v>213</v>
      </c>
      <c r="B560" s="422" t="s">
        <v>1040</v>
      </c>
      <c r="C560" s="392" t="s">
        <v>668</v>
      </c>
    </row>
    <row r="561" spans="1:3" x14ac:dyDescent="0.2">
      <c r="A561" s="396" t="s">
        <v>215</v>
      </c>
      <c r="B561" s="422" t="s">
        <v>1041</v>
      </c>
      <c r="C561" s="392" t="s">
        <v>667</v>
      </c>
    </row>
    <row r="562" spans="1:3" x14ac:dyDescent="0.2">
      <c r="A562" s="396" t="s">
        <v>245</v>
      </c>
      <c r="B562" s="422" t="s">
        <v>1020</v>
      </c>
      <c r="C562" s="392" t="s">
        <v>666</v>
      </c>
    </row>
    <row r="563" spans="1:3" x14ac:dyDescent="0.2">
      <c r="A563" s="396" t="s">
        <v>13</v>
      </c>
      <c r="B563" s="422" t="s">
        <v>1022</v>
      </c>
      <c r="C563" s="392" t="s">
        <v>646</v>
      </c>
    </row>
    <row r="564" spans="1:3" x14ac:dyDescent="0.2">
      <c r="A564" s="396" t="s">
        <v>14</v>
      </c>
      <c r="B564" s="422" t="s">
        <v>1023</v>
      </c>
      <c r="C564" s="392" t="s">
        <v>645</v>
      </c>
    </row>
    <row r="565" spans="1:3" x14ac:dyDescent="0.2">
      <c r="A565" s="396" t="s">
        <v>15</v>
      </c>
      <c r="B565" s="422" t="s">
        <v>1024</v>
      </c>
      <c r="C565" s="392" t="s">
        <v>269</v>
      </c>
    </row>
    <row r="566" spans="1:3" x14ac:dyDescent="0.2">
      <c r="A566" s="396" t="s">
        <v>16</v>
      </c>
      <c r="B566" s="422" t="s">
        <v>1025</v>
      </c>
      <c r="C566" s="392" t="s">
        <v>276</v>
      </c>
    </row>
    <row r="567" spans="1:3" x14ac:dyDescent="0.2">
      <c r="A567" s="396" t="s">
        <v>216</v>
      </c>
      <c r="B567" s="422" t="s">
        <v>1042</v>
      </c>
      <c r="C567" s="392" t="s">
        <v>663</v>
      </c>
    </row>
    <row r="568" spans="1:3" x14ac:dyDescent="0.2">
      <c r="A568" s="396" t="s">
        <v>217</v>
      </c>
      <c r="B568" s="422" t="s">
        <v>1043</v>
      </c>
      <c r="C568" s="392" t="s">
        <v>662</v>
      </c>
    </row>
    <row r="569" spans="1:3" x14ac:dyDescent="0.2">
      <c r="A569" s="396" t="s">
        <v>186</v>
      </c>
      <c r="B569" s="422" t="s">
        <v>802</v>
      </c>
      <c r="C569" s="392" t="s">
        <v>661</v>
      </c>
    </row>
    <row r="570" spans="1:3" x14ac:dyDescent="0.2">
      <c r="A570" s="396" t="s">
        <v>887</v>
      </c>
      <c r="B570" s="392" t="s">
        <v>886</v>
      </c>
      <c r="C570" s="392" t="s">
        <v>885</v>
      </c>
    </row>
    <row r="571" spans="1:3" x14ac:dyDescent="0.2">
      <c r="A571" s="396" t="s">
        <v>530</v>
      </c>
      <c r="B571" s="422" t="s">
        <v>1003</v>
      </c>
      <c r="C571" s="392" t="s">
        <v>660</v>
      </c>
    </row>
    <row r="572" spans="1:3" x14ac:dyDescent="0.2">
      <c r="A572" s="396" t="s">
        <v>192</v>
      </c>
      <c r="B572" s="422" t="s">
        <v>1044</v>
      </c>
      <c r="C572" s="392" t="s">
        <v>664</v>
      </c>
    </row>
    <row r="573" spans="1:3" x14ac:dyDescent="0.2">
      <c r="A573" s="396" t="s">
        <v>1955</v>
      </c>
      <c r="B573" s="422" t="s">
        <v>1956</v>
      </c>
      <c r="C573" s="392" t="s">
        <v>1957</v>
      </c>
    </row>
    <row r="574" spans="1:3" x14ac:dyDescent="0.2">
      <c r="A574" s="396" t="s">
        <v>12</v>
      </c>
      <c r="B574" s="422" t="s">
        <v>1045</v>
      </c>
      <c r="C574" s="392" t="s">
        <v>659</v>
      </c>
    </row>
    <row r="575" spans="1:3" x14ac:dyDescent="0.2">
      <c r="A575" s="396" t="s">
        <v>1184</v>
      </c>
      <c r="B575" s="422" t="s">
        <v>1197</v>
      </c>
      <c r="C575" s="392" t="s">
        <v>1199</v>
      </c>
    </row>
    <row r="576" spans="1:3" x14ac:dyDescent="0.2">
      <c r="A576" s="396" t="s">
        <v>1185</v>
      </c>
      <c r="B576" s="422" t="s">
        <v>1198</v>
      </c>
      <c r="C576" s="392" t="s">
        <v>1201</v>
      </c>
    </row>
    <row r="577" spans="1:3" x14ac:dyDescent="0.2">
      <c r="A577" s="396" t="s">
        <v>259</v>
      </c>
      <c r="B577" s="422" t="s">
        <v>1046</v>
      </c>
      <c r="C577" s="421" t="s">
        <v>1149</v>
      </c>
    </row>
    <row r="578" spans="1:3" x14ac:dyDescent="0.2">
      <c r="A578" s="399" t="s">
        <v>534</v>
      </c>
      <c r="B578" s="422" t="s">
        <v>1047</v>
      </c>
      <c r="C578" s="392" t="s">
        <v>687</v>
      </c>
    </row>
    <row r="579" spans="1:3" x14ac:dyDescent="0.2">
      <c r="A579" s="1" t="s">
        <v>220</v>
      </c>
      <c r="B579" s="422" t="s">
        <v>1048</v>
      </c>
      <c r="C579" s="392" t="s">
        <v>686</v>
      </c>
    </row>
    <row r="580" spans="1:3" x14ac:dyDescent="0.2">
      <c r="A580" s="1" t="s">
        <v>221</v>
      </c>
      <c r="B580" s="422" t="s">
        <v>1049</v>
      </c>
      <c r="C580" s="392" t="s">
        <v>685</v>
      </c>
    </row>
    <row r="581" spans="1:3" x14ac:dyDescent="0.2">
      <c r="A581" s="1" t="s">
        <v>219</v>
      </c>
      <c r="B581" s="422" t="s">
        <v>1050</v>
      </c>
      <c r="C581" s="392" t="s">
        <v>684</v>
      </c>
    </row>
    <row r="582" spans="1:3" x14ac:dyDescent="0.2">
      <c r="A582" s="399"/>
    </row>
    <row r="583" spans="1:3" x14ac:dyDescent="0.2">
      <c r="A583" s="395" t="s">
        <v>20</v>
      </c>
      <c r="B583" s="395" t="str">
        <f>A583</f>
        <v>Marktpreisindex</v>
      </c>
      <c r="C583" s="395" t="str">
        <f>B583</f>
        <v>Marktpreisindex</v>
      </c>
    </row>
    <row r="584" spans="1:3" x14ac:dyDescent="0.2">
      <c r="A584" s="1" t="s">
        <v>236</v>
      </c>
      <c r="B584" s="435" t="s">
        <v>675</v>
      </c>
      <c r="C584" s="1" t="s">
        <v>676</v>
      </c>
    </row>
    <row r="585" spans="1:3" x14ac:dyDescent="0.2">
      <c r="A585" s="1" t="s">
        <v>237</v>
      </c>
      <c r="B585" s="435" t="s">
        <v>1051</v>
      </c>
      <c r="C585" s="1" t="s">
        <v>677</v>
      </c>
    </row>
    <row r="586" spans="1:3" x14ac:dyDescent="0.2">
      <c r="A586" s="1" t="s">
        <v>238</v>
      </c>
      <c r="B586" s="435" t="s">
        <v>1052</v>
      </c>
      <c r="C586" s="1" t="s">
        <v>678</v>
      </c>
    </row>
    <row r="587" spans="1:3" x14ac:dyDescent="0.2">
      <c r="A587" s="1" t="s">
        <v>239</v>
      </c>
      <c r="B587" s="435" t="s">
        <v>1053</v>
      </c>
      <c r="C587" s="1" t="s">
        <v>679</v>
      </c>
    </row>
    <row r="588" spans="1:3" x14ac:dyDescent="0.2">
      <c r="A588" s="1" t="s">
        <v>240</v>
      </c>
      <c r="B588" s="435" t="s">
        <v>680</v>
      </c>
      <c r="C588" s="1" t="s">
        <v>682</v>
      </c>
    </row>
    <row r="589" spans="1:3" x14ac:dyDescent="0.2">
      <c r="A589" s="1" t="s">
        <v>241</v>
      </c>
      <c r="B589" s="435" t="s">
        <v>681</v>
      </c>
      <c r="C589" s="1" t="s">
        <v>683</v>
      </c>
    </row>
    <row r="590" spans="1:3" x14ac:dyDescent="0.2">
      <c r="A590" s="1" t="s">
        <v>243</v>
      </c>
      <c r="B590" s="435" t="s">
        <v>1054</v>
      </c>
      <c r="C590" s="396" t="s">
        <v>652</v>
      </c>
    </row>
    <row r="591" spans="1:3" x14ac:dyDescent="0.2">
      <c r="A591" s="1" t="s">
        <v>242</v>
      </c>
      <c r="B591" s="435" t="s">
        <v>871</v>
      </c>
      <c r="C591" s="396" t="s">
        <v>871</v>
      </c>
    </row>
    <row r="592" spans="1:3" x14ac:dyDescent="0.2">
      <c r="A592" s="399"/>
    </row>
    <row r="593" spans="1:3" x14ac:dyDescent="0.2">
      <c r="A593" s="395" t="s">
        <v>1826</v>
      </c>
      <c r="B593" s="395" t="s">
        <v>1827</v>
      </c>
      <c r="C593" s="395" t="s">
        <v>1828</v>
      </c>
    </row>
    <row r="594" spans="1:3" x14ac:dyDescent="0.2">
      <c r="A594" s="767" t="s">
        <v>5</v>
      </c>
      <c r="B594" s="768" t="s">
        <v>623</v>
      </c>
      <c r="C594" s="769" t="s">
        <v>622</v>
      </c>
    </row>
    <row r="595" spans="1:3" x14ac:dyDescent="0.2">
      <c r="A595" s="767" t="s">
        <v>6</v>
      </c>
      <c r="B595" s="768" t="s">
        <v>674</v>
      </c>
      <c r="C595" s="770" t="s">
        <v>285</v>
      </c>
    </row>
    <row r="596" spans="1:3" x14ac:dyDescent="0.2">
      <c r="A596" s="767" t="s">
        <v>7</v>
      </c>
      <c r="B596" s="768" t="s">
        <v>1055</v>
      </c>
      <c r="C596" s="770" t="s">
        <v>673</v>
      </c>
    </row>
    <row r="597" spans="1:3" x14ac:dyDescent="0.2">
      <c r="A597" s="767" t="s">
        <v>202</v>
      </c>
      <c r="B597" s="768" t="s">
        <v>1056</v>
      </c>
      <c r="C597" s="770" t="s">
        <v>672</v>
      </c>
    </row>
    <row r="598" spans="1:3" x14ac:dyDescent="0.2">
      <c r="A598" s="767" t="s">
        <v>11</v>
      </c>
      <c r="B598" s="768" t="s">
        <v>1057</v>
      </c>
      <c r="C598" s="770" t="s">
        <v>671</v>
      </c>
    </row>
    <row r="599" spans="1:3" x14ac:dyDescent="0.2">
      <c r="A599" s="767" t="s">
        <v>1958</v>
      </c>
      <c r="B599" s="768" t="s">
        <v>1058</v>
      </c>
      <c r="C599" s="770" t="s">
        <v>662</v>
      </c>
    </row>
    <row r="600" spans="1:3" x14ac:dyDescent="0.2">
      <c r="A600" s="767" t="s">
        <v>1959</v>
      </c>
      <c r="B600" s="768" t="s">
        <v>1059</v>
      </c>
      <c r="C600" s="770" t="s">
        <v>660</v>
      </c>
    </row>
    <row r="601" spans="1:3" x14ac:dyDescent="0.2">
      <c r="A601" s="767" t="s">
        <v>211</v>
      </c>
      <c r="B601" s="768" t="s">
        <v>1038</v>
      </c>
      <c r="C601" s="770" t="s">
        <v>670</v>
      </c>
    </row>
    <row r="602" spans="1:3" x14ac:dyDescent="0.2">
      <c r="A602" s="767" t="s">
        <v>212</v>
      </c>
      <c r="B602" s="768" t="s">
        <v>639</v>
      </c>
      <c r="C602" s="770" t="s">
        <v>640</v>
      </c>
    </row>
    <row r="603" spans="1:3" x14ac:dyDescent="0.2">
      <c r="A603" s="767" t="s">
        <v>131</v>
      </c>
      <c r="B603" s="768" t="s">
        <v>1026</v>
      </c>
      <c r="C603" s="770" t="s">
        <v>638</v>
      </c>
    </row>
    <row r="604" spans="1:3" x14ac:dyDescent="0.2">
      <c r="A604" s="767" t="s">
        <v>247</v>
      </c>
      <c r="B604" s="768" t="s">
        <v>1027</v>
      </c>
      <c r="C604" s="770" t="s">
        <v>637</v>
      </c>
    </row>
    <row r="605" spans="1:3" x14ac:dyDescent="0.2">
      <c r="A605" s="767" t="s">
        <v>137</v>
      </c>
      <c r="B605" s="768" t="s">
        <v>950</v>
      </c>
      <c r="C605" s="770" t="s">
        <v>642</v>
      </c>
    </row>
    <row r="606" spans="1:3" x14ac:dyDescent="0.2">
      <c r="A606" s="767" t="s">
        <v>138</v>
      </c>
      <c r="B606" s="768" t="s">
        <v>955</v>
      </c>
      <c r="C606" s="770" t="s">
        <v>641</v>
      </c>
    </row>
    <row r="607" spans="1:3" x14ac:dyDescent="0.2">
      <c r="A607" s="767" t="s">
        <v>206</v>
      </c>
      <c r="B607" s="768" t="s">
        <v>1029</v>
      </c>
      <c r="C607" s="771" t="s">
        <v>647</v>
      </c>
    </row>
    <row r="608" spans="1:3" x14ac:dyDescent="0.2">
      <c r="A608" s="767" t="s">
        <v>214</v>
      </c>
      <c r="B608" s="768" t="s">
        <v>1030</v>
      </c>
      <c r="C608" s="770" t="s">
        <v>669</v>
      </c>
    </row>
    <row r="609" spans="1:3" x14ac:dyDescent="0.2">
      <c r="A609" s="767" t="s">
        <v>213</v>
      </c>
      <c r="B609" s="768" t="s">
        <v>1040</v>
      </c>
      <c r="C609" s="770" t="s">
        <v>668</v>
      </c>
    </row>
    <row r="610" spans="1:3" x14ac:dyDescent="0.2">
      <c r="A610" s="767" t="s">
        <v>215</v>
      </c>
      <c r="B610" s="768" t="s">
        <v>1041</v>
      </c>
      <c r="C610" s="770" t="s">
        <v>667</v>
      </c>
    </row>
    <row r="611" spans="1:3" x14ac:dyDescent="0.2">
      <c r="A611" s="767" t="s">
        <v>245</v>
      </c>
      <c r="B611" s="768" t="s">
        <v>1960</v>
      </c>
      <c r="C611" s="770" t="s">
        <v>666</v>
      </c>
    </row>
    <row r="612" spans="1:3" x14ac:dyDescent="0.2">
      <c r="A612" s="767" t="s">
        <v>244</v>
      </c>
      <c r="B612" s="768" t="s">
        <v>1060</v>
      </c>
      <c r="C612" s="770" t="s">
        <v>665</v>
      </c>
    </row>
    <row r="613" spans="1:3" x14ac:dyDescent="0.2">
      <c r="A613" s="772" t="str">
        <f ca="1">IF($A$3=DropDown!$A$7,A611,A612)</f>
        <v>Verkauf zum Referenzmarktpreis</v>
      </c>
      <c r="B613" s="773" t="str">
        <f ca="1">IF($A$3=DropDown!$A$7,B611,B612)</f>
        <v>Ventes au prix de marché de référence</v>
      </c>
      <c r="C613" s="773" t="str">
        <f ca="1">IF($A$3=DropDown!$A$7,C611,C612)</f>
        <v>Vendita al prezzo di riferimento di mercato</v>
      </c>
    </row>
    <row r="614" spans="1:3" x14ac:dyDescent="0.2">
      <c r="A614" s="767" t="s">
        <v>13</v>
      </c>
      <c r="B614" s="768" t="s">
        <v>1022</v>
      </c>
      <c r="C614" s="770" t="s">
        <v>646</v>
      </c>
    </row>
    <row r="615" spans="1:3" x14ac:dyDescent="0.2">
      <c r="A615" s="767" t="s">
        <v>14</v>
      </c>
      <c r="B615" s="768" t="s">
        <v>1023</v>
      </c>
      <c r="C615" s="770" t="s">
        <v>645</v>
      </c>
    </row>
    <row r="616" spans="1:3" x14ac:dyDescent="0.2">
      <c r="A616" s="767" t="s">
        <v>15</v>
      </c>
      <c r="B616" s="768" t="s">
        <v>1024</v>
      </c>
      <c r="C616" s="770" t="s">
        <v>269</v>
      </c>
    </row>
    <row r="617" spans="1:3" x14ac:dyDescent="0.2">
      <c r="A617" s="767" t="s">
        <v>16</v>
      </c>
      <c r="B617" s="768" t="s">
        <v>1025</v>
      </c>
      <c r="C617" s="770" t="s">
        <v>276</v>
      </c>
    </row>
    <row r="618" spans="1:3" x14ac:dyDescent="0.2">
      <c r="A618" s="767" t="s">
        <v>216</v>
      </c>
      <c r="B618" s="768" t="s">
        <v>1061</v>
      </c>
      <c r="C618" s="770" t="s">
        <v>663</v>
      </c>
    </row>
    <row r="619" spans="1:3" x14ac:dyDescent="0.2">
      <c r="A619" s="767" t="s">
        <v>217</v>
      </c>
      <c r="B619" s="768" t="s">
        <v>1043</v>
      </c>
      <c r="C619" s="770" t="s">
        <v>662</v>
      </c>
    </row>
    <row r="620" spans="1:3" x14ac:dyDescent="0.2">
      <c r="A620" s="767" t="s">
        <v>186</v>
      </c>
      <c r="B620" s="768" t="s">
        <v>802</v>
      </c>
      <c r="C620" s="770" t="s">
        <v>661</v>
      </c>
    </row>
    <row r="621" spans="1:3" x14ac:dyDescent="0.2">
      <c r="A621" s="767" t="s">
        <v>530</v>
      </c>
      <c r="B621" s="768" t="s">
        <v>1003</v>
      </c>
      <c r="C621" s="770" t="s">
        <v>660</v>
      </c>
    </row>
    <row r="622" spans="1:3" x14ac:dyDescent="0.2">
      <c r="A622" s="767" t="s">
        <v>192</v>
      </c>
      <c r="B622" s="768" t="s">
        <v>1044</v>
      </c>
      <c r="C622" s="770" t="s">
        <v>664</v>
      </c>
    </row>
    <row r="623" spans="1:3" x14ac:dyDescent="0.2">
      <c r="A623" s="767" t="s">
        <v>12</v>
      </c>
      <c r="B623" s="768" t="s">
        <v>1045</v>
      </c>
      <c r="C623" s="770" t="s">
        <v>659</v>
      </c>
    </row>
    <row r="624" spans="1:3" x14ac:dyDescent="0.2">
      <c r="A624" s="767" t="s">
        <v>218</v>
      </c>
      <c r="B624" s="768" t="s">
        <v>657</v>
      </c>
      <c r="C624" s="770" t="s">
        <v>658</v>
      </c>
    </row>
    <row r="625" spans="1:3" ht="38.25" x14ac:dyDescent="0.2">
      <c r="A625" s="774" t="s">
        <v>1961</v>
      </c>
      <c r="B625" s="775" t="s">
        <v>1062</v>
      </c>
      <c r="C625" s="775" t="s">
        <v>656</v>
      </c>
    </row>
    <row r="626" spans="1:3" x14ac:dyDescent="0.2">
      <c r="A626" s="774" t="s">
        <v>1164</v>
      </c>
      <c r="B626" s="775" t="s">
        <v>1196</v>
      </c>
      <c r="C626" s="770" t="s">
        <v>1195</v>
      </c>
    </row>
    <row r="627" spans="1:3" x14ac:dyDescent="0.2">
      <c r="A627" s="767" t="s">
        <v>17</v>
      </c>
      <c r="B627" s="768" t="s">
        <v>1070</v>
      </c>
      <c r="C627" s="770" t="s">
        <v>655</v>
      </c>
    </row>
    <row r="628" spans="1:3" x14ac:dyDescent="0.2">
      <c r="A628" s="767" t="s">
        <v>18</v>
      </c>
      <c r="B628" s="768" t="s">
        <v>1063</v>
      </c>
      <c r="C628" s="770" t="s">
        <v>654</v>
      </c>
    </row>
    <row r="629" spans="1:3" x14ac:dyDescent="0.2">
      <c r="A629" s="767" t="s">
        <v>19</v>
      </c>
      <c r="B629" s="768" t="s">
        <v>1064</v>
      </c>
      <c r="C629" s="770" t="s">
        <v>653</v>
      </c>
    </row>
    <row r="630" spans="1:3" x14ac:dyDescent="0.2">
      <c r="A630" s="767" t="s">
        <v>20</v>
      </c>
      <c r="B630" s="768" t="s">
        <v>505</v>
      </c>
      <c r="C630" s="770" t="s">
        <v>506</v>
      </c>
    </row>
    <row r="631" spans="1:3" x14ac:dyDescent="0.2">
      <c r="A631" s="767" t="s">
        <v>21</v>
      </c>
      <c r="B631" s="768" t="s">
        <v>1065</v>
      </c>
      <c r="C631" s="770" t="s">
        <v>652</v>
      </c>
    </row>
    <row r="632" spans="1:3" x14ac:dyDescent="0.2">
      <c r="A632" s="767" t="s">
        <v>251</v>
      </c>
      <c r="B632" s="768" t="s">
        <v>1066</v>
      </c>
      <c r="C632" s="770" t="s">
        <v>651</v>
      </c>
    </row>
    <row r="633" spans="1:3" x14ac:dyDescent="0.2">
      <c r="A633" s="767" t="s">
        <v>257</v>
      </c>
      <c r="B633" s="768" t="s">
        <v>1067</v>
      </c>
      <c r="C633" s="770" t="s">
        <v>650</v>
      </c>
    </row>
    <row r="634" spans="1:3" x14ac:dyDescent="0.2">
      <c r="A634" s="767" t="s">
        <v>196</v>
      </c>
      <c r="B634" s="768" t="s">
        <v>1018</v>
      </c>
      <c r="C634" s="770" t="s">
        <v>872</v>
      </c>
    </row>
    <row r="635" spans="1:3" x14ac:dyDescent="0.2">
      <c r="A635" s="767" t="s">
        <v>252</v>
      </c>
      <c r="B635" s="768" t="s">
        <v>648</v>
      </c>
      <c r="C635" s="771" t="s">
        <v>649</v>
      </c>
    </row>
    <row r="636" spans="1:3" x14ac:dyDescent="0.2">
      <c r="A636" s="767" t="str">
        <f>A607</f>
        <v>Eigenkapitalgewinnsteuer</v>
      </c>
      <c r="B636" s="768" t="s">
        <v>1068</v>
      </c>
      <c r="C636" s="771" t="s">
        <v>647</v>
      </c>
    </row>
    <row r="637" spans="1:3" x14ac:dyDescent="0.2">
      <c r="A637" s="767" t="s">
        <v>13</v>
      </c>
      <c r="B637" s="768" t="s">
        <v>1022</v>
      </c>
      <c r="C637" s="770" t="s">
        <v>646</v>
      </c>
    </row>
    <row r="638" spans="1:3" x14ac:dyDescent="0.2">
      <c r="A638" s="767" t="s">
        <v>14</v>
      </c>
      <c r="B638" s="768" t="s">
        <v>1023</v>
      </c>
      <c r="C638" s="770" t="s">
        <v>645</v>
      </c>
    </row>
    <row r="639" spans="1:3" x14ac:dyDescent="0.2">
      <c r="A639" s="767" t="s">
        <v>15</v>
      </c>
      <c r="B639" s="768" t="s">
        <v>1024</v>
      </c>
      <c r="C639" s="770" t="s">
        <v>269</v>
      </c>
    </row>
    <row r="640" spans="1:3" x14ac:dyDescent="0.2">
      <c r="A640" s="767" t="s">
        <v>16</v>
      </c>
      <c r="B640" s="768" t="s">
        <v>1025</v>
      </c>
      <c r="C640" s="770" t="s">
        <v>276</v>
      </c>
    </row>
    <row r="641" spans="1:3" x14ac:dyDescent="0.2">
      <c r="A641" s="767" t="s">
        <v>246</v>
      </c>
      <c r="B641" s="768" t="s">
        <v>1069</v>
      </c>
      <c r="C641" s="770" t="s">
        <v>644</v>
      </c>
    </row>
    <row r="642" spans="1:3" x14ac:dyDescent="0.2">
      <c r="A642" s="767" t="s">
        <v>137</v>
      </c>
      <c r="B642" s="768" t="s">
        <v>950</v>
      </c>
      <c r="C642" s="770" t="s">
        <v>642</v>
      </c>
    </row>
    <row r="643" spans="1:3" x14ac:dyDescent="0.2">
      <c r="A643" s="767" t="s">
        <v>138</v>
      </c>
      <c r="B643" s="768" t="s">
        <v>955</v>
      </c>
      <c r="C643" s="770" t="s">
        <v>641</v>
      </c>
    </row>
    <row r="644" spans="1:3" x14ac:dyDescent="0.2">
      <c r="A644" s="767" t="s">
        <v>212</v>
      </c>
      <c r="B644" s="768" t="s">
        <v>639</v>
      </c>
      <c r="C644" s="770" t="s">
        <v>640</v>
      </c>
    </row>
    <row r="645" spans="1:3" x14ac:dyDescent="0.2">
      <c r="A645" s="767" t="s">
        <v>131</v>
      </c>
      <c r="B645" s="768" t="s">
        <v>1026</v>
      </c>
      <c r="C645" s="770" t="s">
        <v>638</v>
      </c>
    </row>
    <row r="646" spans="1:3" x14ac:dyDescent="0.2">
      <c r="A646" s="767" t="s">
        <v>248</v>
      </c>
      <c r="B646" s="768" t="s">
        <v>1027</v>
      </c>
      <c r="C646" s="770" t="s">
        <v>637</v>
      </c>
    </row>
    <row r="647" spans="1:3" ht="25.5" x14ac:dyDescent="0.2">
      <c r="A647" s="774" t="s">
        <v>258</v>
      </c>
      <c r="B647" s="775" t="s">
        <v>1071</v>
      </c>
      <c r="C647" s="775" t="s">
        <v>1150</v>
      </c>
    </row>
    <row r="648" spans="1:3" s="432" customFormat="1" x14ac:dyDescent="0.2">
      <c r="A648" s="767" t="s">
        <v>199</v>
      </c>
      <c r="B648" s="776" t="s">
        <v>199</v>
      </c>
      <c r="C648" s="767" t="s">
        <v>199</v>
      </c>
    </row>
    <row r="649" spans="1:3" s="432" customFormat="1" x14ac:dyDescent="0.2">
      <c r="A649" s="767" t="s">
        <v>249</v>
      </c>
      <c r="B649" s="768" t="s">
        <v>1072</v>
      </c>
      <c r="C649" s="771" t="s">
        <v>636</v>
      </c>
    </row>
    <row r="650" spans="1:3" s="432" customFormat="1" x14ac:dyDescent="0.2">
      <c r="A650" s="767" t="s">
        <v>204</v>
      </c>
      <c r="B650" s="776" t="s">
        <v>204</v>
      </c>
      <c r="C650" s="767" t="s">
        <v>204</v>
      </c>
    </row>
    <row r="651" spans="1:3" s="432" customFormat="1" x14ac:dyDescent="0.2">
      <c r="A651" s="767" t="s">
        <v>253</v>
      </c>
      <c r="B651" s="768" t="s">
        <v>634</v>
      </c>
      <c r="C651" s="771" t="s">
        <v>635</v>
      </c>
    </row>
    <row r="652" spans="1:3" s="432" customFormat="1" x14ac:dyDescent="0.2">
      <c r="A652" s="767" t="s">
        <v>205</v>
      </c>
      <c r="B652" s="776" t="s">
        <v>205</v>
      </c>
      <c r="C652" s="767" t="s">
        <v>205</v>
      </c>
    </row>
    <row r="653" spans="1:3" s="432" customFormat="1" x14ac:dyDescent="0.2">
      <c r="A653" s="767" t="s">
        <v>254</v>
      </c>
      <c r="B653" s="768" t="s">
        <v>1073</v>
      </c>
      <c r="C653" s="771" t="s">
        <v>633</v>
      </c>
    </row>
    <row r="654" spans="1:3" s="432" customFormat="1" x14ac:dyDescent="0.2">
      <c r="A654" s="767" t="s">
        <v>255</v>
      </c>
      <c r="B654" s="768" t="s">
        <v>1074</v>
      </c>
      <c r="C654" s="771" t="s">
        <v>632</v>
      </c>
    </row>
    <row r="655" spans="1:3" s="432" customFormat="1" x14ac:dyDescent="0.2">
      <c r="A655" s="767" t="s">
        <v>208</v>
      </c>
      <c r="B655" s="776" t="s">
        <v>208</v>
      </c>
      <c r="C655" s="767" t="s">
        <v>208</v>
      </c>
    </row>
    <row r="656" spans="1:3" s="432" customFormat="1" x14ac:dyDescent="0.2">
      <c r="A656" s="767" t="s">
        <v>256</v>
      </c>
      <c r="B656" s="768" t="s">
        <v>1075</v>
      </c>
      <c r="C656" s="770" t="s">
        <v>609</v>
      </c>
    </row>
    <row r="657" spans="1:3" s="432" customFormat="1" x14ac:dyDescent="0.2">
      <c r="A657" s="767" t="s">
        <v>209</v>
      </c>
      <c r="B657" s="768" t="s">
        <v>1032</v>
      </c>
      <c r="C657" s="770" t="s">
        <v>631</v>
      </c>
    </row>
    <row r="658" spans="1:3" s="432" customFormat="1" x14ac:dyDescent="0.2">
      <c r="A658" s="767" t="s">
        <v>535</v>
      </c>
      <c r="B658" s="776" t="s">
        <v>629</v>
      </c>
      <c r="C658" s="767" t="s">
        <v>628</v>
      </c>
    </row>
    <row r="659" spans="1:3" s="432" customFormat="1" x14ac:dyDescent="0.2">
      <c r="A659" s="767" t="s">
        <v>536</v>
      </c>
      <c r="B659" s="776" t="s">
        <v>630</v>
      </c>
      <c r="C659" s="767" t="s">
        <v>536</v>
      </c>
    </row>
    <row r="660" spans="1:3" s="432" customFormat="1" x14ac:dyDescent="0.2">
      <c r="A660" s="772" t="e">
        <f>CONCATENATE(A658," ",#REF!-1)</f>
        <v>#REF!</v>
      </c>
      <c r="B660" s="772" t="e">
        <f>CONCATENATE(B658," ",#REF!-1)</f>
        <v>#REF!</v>
      </c>
      <c r="C660" s="773" t="e">
        <f>CONCATENATE(C658," ",#REF!-1)</f>
        <v>#REF!</v>
      </c>
    </row>
    <row r="661" spans="1:3" x14ac:dyDescent="0.2">
      <c r="A661" s="772" t="e">
        <f>CONCATENATE(A658," ",#REF!-1,A659)</f>
        <v>#REF!</v>
      </c>
      <c r="B661" s="772" t="e">
        <f>CONCATENATE(B658," ",#REF!-1,B659)</f>
        <v>#REF!</v>
      </c>
      <c r="C661" s="770" t="e">
        <f>CONCATENATE(C658," ",#REF!-1,C659)</f>
        <v>#REF!</v>
      </c>
    </row>
    <row r="662" spans="1:3" x14ac:dyDescent="0.2">
      <c r="A662" s="772" t="s">
        <v>537</v>
      </c>
      <c r="B662" s="772" t="s">
        <v>625</v>
      </c>
      <c r="C662" s="772" t="s">
        <v>624</v>
      </c>
    </row>
    <row r="663" spans="1:3" x14ac:dyDescent="0.2">
      <c r="A663" s="772" t="s">
        <v>538</v>
      </c>
      <c r="B663" s="772" t="s">
        <v>626</v>
      </c>
      <c r="C663" s="772" t="s">
        <v>627</v>
      </c>
    </row>
    <row r="664" spans="1:3" x14ac:dyDescent="0.2">
      <c r="A664" s="772" t="s">
        <v>539</v>
      </c>
      <c r="B664" s="772"/>
      <c r="C664" s="772"/>
    </row>
    <row r="665" spans="1:3" x14ac:dyDescent="0.2">
      <c r="A665" s="772" t="str">
        <f>CONCATENATE(A662,Vorgaben!C3,A663,A664)</f>
        <v>Abschätzung über 20 Jahre Laufzeit in CHF</v>
      </c>
      <c r="B665" s="770" t="str">
        <f>CONCATENATE(B662,Vorgaben!C3,B663)</f>
        <v>Estimation sur une durée de 20 ans en CHF</v>
      </c>
      <c r="C665" s="770" t="str">
        <f>CONCATENATE(C662,Vorgaben!C3,C663)</f>
        <v>Stima su una durata di 20 anni in CHF</v>
      </c>
    </row>
    <row r="666" spans="1:3" x14ac:dyDescent="0.2">
      <c r="A666" s="773"/>
      <c r="B666" s="770"/>
      <c r="C666" s="770"/>
    </row>
    <row r="667" spans="1:3" x14ac:dyDescent="0.2">
      <c r="A667" s="395" t="s">
        <v>540</v>
      </c>
      <c r="B667" s="395" t="str">
        <f>A667</f>
        <v>Allg., SDL, RMP, HKN, Wi-Res.</v>
      </c>
      <c r="C667" s="395" t="str">
        <f>B667</f>
        <v>Allg., SDL, RMP, HKN, Wi-Res.</v>
      </c>
    </row>
    <row r="668" spans="1:3" x14ac:dyDescent="0.2">
      <c r="A668" s="259" t="s">
        <v>36</v>
      </c>
      <c r="B668" s="422" t="s">
        <v>35</v>
      </c>
      <c r="C668" s="392" t="s">
        <v>294</v>
      </c>
    </row>
    <row r="669" spans="1:3" x14ac:dyDescent="0.2">
      <c r="A669" s="1" t="s">
        <v>55</v>
      </c>
      <c r="B669" s="422" t="s">
        <v>1076</v>
      </c>
      <c r="C669" s="392" t="s">
        <v>621</v>
      </c>
    </row>
    <row r="670" spans="1:3" x14ac:dyDescent="0.2">
      <c r="A670" s="1" t="s">
        <v>56</v>
      </c>
      <c r="B670" s="422" t="s">
        <v>1077</v>
      </c>
      <c r="C670" s="392" t="s">
        <v>620</v>
      </c>
    </row>
    <row r="671" spans="1:3" x14ac:dyDescent="0.2">
      <c r="A671" s="1" t="s">
        <v>617</v>
      </c>
      <c r="B671" s="422" t="s">
        <v>618</v>
      </c>
      <c r="C671" s="392" t="s">
        <v>619</v>
      </c>
    </row>
    <row r="672" spans="1:3" x14ac:dyDescent="0.2">
      <c r="A672" s="1" t="s">
        <v>57</v>
      </c>
      <c r="B672" s="422" t="s">
        <v>1078</v>
      </c>
      <c r="C672" s="392" t="s">
        <v>587</v>
      </c>
    </row>
    <row r="673" spans="1:3" x14ac:dyDescent="0.2">
      <c r="A673" s="1" t="s">
        <v>58</v>
      </c>
      <c r="B673" s="422" t="s">
        <v>616</v>
      </c>
      <c r="C673" s="392" t="s">
        <v>615</v>
      </c>
    </row>
    <row r="674" spans="1:3" x14ac:dyDescent="0.2">
      <c r="A674" s="1" t="s">
        <v>59</v>
      </c>
      <c r="B674" s="422" t="s">
        <v>1079</v>
      </c>
      <c r="C674" s="392" t="s">
        <v>614</v>
      </c>
    </row>
    <row r="675" spans="1:3" x14ac:dyDescent="0.2">
      <c r="A675" s="1" t="s">
        <v>178</v>
      </c>
      <c r="B675" s="422" t="s">
        <v>611</v>
      </c>
      <c r="C675" s="392" t="s">
        <v>613</v>
      </c>
    </row>
    <row r="676" spans="1:3" x14ac:dyDescent="0.2">
      <c r="A676" s="1" t="s">
        <v>179</v>
      </c>
      <c r="B676" s="422" t="s">
        <v>612</v>
      </c>
      <c r="C676" s="392" t="s">
        <v>610</v>
      </c>
    </row>
    <row r="677" spans="1:3" x14ac:dyDescent="0.2">
      <c r="A677" s="1" t="s">
        <v>176</v>
      </c>
      <c r="B677" s="422" t="s">
        <v>608</v>
      </c>
      <c r="C677" s="392" t="s">
        <v>609</v>
      </c>
    </row>
    <row r="678" spans="1:3" x14ac:dyDescent="0.2">
      <c r="A678" s="1" t="s">
        <v>177</v>
      </c>
      <c r="B678" s="422" t="s">
        <v>607</v>
      </c>
      <c r="C678" s="392" t="s">
        <v>606</v>
      </c>
    </row>
    <row r="679" spans="1:3" x14ac:dyDescent="0.2">
      <c r="A679" s="1" t="s">
        <v>873</v>
      </c>
      <c r="B679" s="422" t="s">
        <v>874</v>
      </c>
      <c r="C679" s="259" t="s">
        <v>875</v>
      </c>
    </row>
    <row r="680" spans="1:3" x14ac:dyDescent="0.2">
      <c r="A680" s="396" t="s">
        <v>541</v>
      </c>
      <c r="B680" s="422" t="s">
        <v>1080</v>
      </c>
      <c r="C680" s="392" t="s">
        <v>605</v>
      </c>
    </row>
    <row r="681" spans="1:3" x14ac:dyDescent="0.2">
      <c r="A681" s="399" t="s">
        <v>60</v>
      </c>
      <c r="B681" s="422" t="s">
        <v>1081</v>
      </c>
      <c r="C681" s="392" t="s">
        <v>273</v>
      </c>
    </row>
    <row r="682" spans="1:3" x14ac:dyDescent="0.2">
      <c r="A682" s="1" t="s">
        <v>29</v>
      </c>
      <c r="B682" s="422" t="s">
        <v>561</v>
      </c>
      <c r="C682" s="392" t="s">
        <v>558</v>
      </c>
    </row>
    <row r="683" spans="1:3" x14ac:dyDescent="0.2">
      <c r="A683" s="1" t="s">
        <v>69</v>
      </c>
      <c r="B683" s="429" t="s">
        <v>1082</v>
      </c>
      <c r="C683" s="392" t="s">
        <v>604</v>
      </c>
    </row>
    <row r="684" spans="1:3" x14ac:dyDescent="0.2">
      <c r="A684" s="1" t="s">
        <v>30</v>
      </c>
      <c r="B684" s="422" t="s">
        <v>560</v>
      </c>
      <c r="C684" s="392" t="s">
        <v>559</v>
      </c>
    </row>
    <row r="685" spans="1:3" x14ac:dyDescent="0.2">
      <c r="A685" s="1" t="s">
        <v>126</v>
      </c>
      <c r="B685" s="422" t="s">
        <v>1083</v>
      </c>
      <c r="C685" s="392" t="s">
        <v>603</v>
      </c>
    </row>
    <row r="686" spans="1:3" x14ac:dyDescent="0.2">
      <c r="A686" s="1" t="s">
        <v>70</v>
      </c>
      <c r="B686" s="422" t="s">
        <v>1084</v>
      </c>
      <c r="C686" s="392" t="s">
        <v>602</v>
      </c>
    </row>
    <row r="687" spans="1:3" x14ac:dyDescent="0.2">
      <c r="A687" s="1" t="s">
        <v>600</v>
      </c>
      <c r="B687" s="422" t="s">
        <v>1085</v>
      </c>
      <c r="C687" s="392" t="s">
        <v>601</v>
      </c>
    </row>
    <row r="688" spans="1:3" x14ac:dyDescent="0.2">
      <c r="A688" s="1" t="s">
        <v>61</v>
      </c>
      <c r="B688" s="422" t="s">
        <v>271</v>
      </c>
      <c r="C688" s="392" t="s">
        <v>271</v>
      </c>
    </row>
    <row r="689" spans="1:3" x14ac:dyDescent="0.2">
      <c r="A689" s="1" t="s">
        <v>62</v>
      </c>
      <c r="B689" s="422" t="s">
        <v>598</v>
      </c>
      <c r="C689" s="392" t="s">
        <v>598</v>
      </c>
    </row>
    <row r="690" spans="1:3" x14ac:dyDescent="0.2">
      <c r="A690" s="1" t="s">
        <v>63</v>
      </c>
      <c r="B690" s="422" t="s">
        <v>599</v>
      </c>
      <c r="C690" s="392" t="s">
        <v>599</v>
      </c>
    </row>
    <row r="691" spans="1:3" x14ac:dyDescent="0.2">
      <c r="A691" s="1" t="s">
        <v>64</v>
      </c>
      <c r="B691" s="422" t="s">
        <v>594</v>
      </c>
      <c r="C691" s="392" t="s">
        <v>594</v>
      </c>
    </row>
    <row r="692" spans="1:3" x14ac:dyDescent="0.2">
      <c r="A692" s="1" t="s">
        <v>65</v>
      </c>
      <c r="B692" s="422" t="s">
        <v>595</v>
      </c>
      <c r="C692" s="392" t="s">
        <v>595</v>
      </c>
    </row>
    <row r="693" spans="1:3" x14ac:dyDescent="0.2">
      <c r="A693" s="1" t="s">
        <v>66</v>
      </c>
      <c r="B693" s="422" t="s">
        <v>1086</v>
      </c>
      <c r="C693" s="392" t="s">
        <v>596</v>
      </c>
    </row>
    <row r="694" spans="1:3" x14ac:dyDescent="0.2">
      <c r="A694" s="1" t="s">
        <v>67</v>
      </c>
      <c r="B694" s="422" t="s">
        <v>1087</v>
      </c>
      <c r="C694" s="392" t="s">
        <v>597</v>
      </c>
    </row>
    <row r="695" spans="1:3" x14ac:dyDescent="0.2">
      <c r="A695" s="1" t="s">
        <v>68</v>
      </c>
      <c r="B695" s="422" t="s">
        <v>1088</v>
      </c>
      <c r="C695" s="392" t="s">
        <v>593</v>
      </c>
    </row>
    <row r="696" spans="1:3" x14ac:dyDescent="0.2">
      <c r="A696" s="1" t="s">
        <v>71</v>
      </c>
      <c r="B696" s="422" t="s">
        <v>1089</v>
      </c>
      <c r="C696" s="392" t="s">
        <v>275</v>
      </c>
    </row>
    <row r="697" spans="1:3" x14ac:dyDescent="0.2">
      <c r="A697" s="1" t="s">
        <v>876</v>
      </c>
      <c r="B697" s="422" t="s">
        <v>877</v>
      </c>
      <c r="C697" s="436" t="s">
        <v>878</v>
      </c>
    </row>
    <row r="698" spans="1:3" x14ac:dyDescent="0.2">
      <c r="A698" s="1" t="s">
        <v>74</v>
      </c>
      <c r="B698" s="422" t="s">
        <v>1090</v>
      </c>
      <c r="C698" s="436" t="s">
        <v>592</v>
      </c>
    </row>
    <row r="699" spans="1:3" x14ac:dyDescent="0.2">
      <c r="A699" s="1" t="s">
        <v>76</v>
      </c>
      <c r="B699" s="422" t="s">
        <v>1091</v>
      </c>
      <c r="C699" s="436" t="s">
        <v>591</v>
      </c>
    </row>
    <row r="700" spans="1:3" x14ac:dyDescent="0.2">
      <c r="A700" s="1" t="s">
        <v>78</v>
      </c>
      <c r="B700" s="422" t="s">
        <v>1092</v>
      </c>
      <c r="C700" s="436" t="s">
        <v>590</v>
      </c>
    </row>
    <row r="701" spans="1:3" x14ac:dyDescent="0.2">
      <c r="A701" s="1" t="s">
        <v>73</v>
      </c>
      <c r="B701" s="422" t="s">
        <v>725</v>
      </c>
      <c r="C701" s="392" t="s">
        <v>725</v>
      </c>
    </row>
    <row r="702" spans="1:3" x14ac:dyDescent="0.2">
      <c r="A702" s="1" t="s">
        <v>75</v>
      </c>
      <c r="B702" s="422" t="s">
        <v>728</v>
      </c>
      <c r="C702" s="392" t="s">
        <v>728</v>
      </c>
    </row>
    <row r="703" spans="1:3" x14ac:dyDescent="0.2">
      <c r="A703" s="1" t="s">
        <v>77</v>
      </c>
      <c r="B703" s="422" t="s">
        <v>726</v>
      </c>
      <c r="C703" s="392" t="s">
        <v>881</v>
      </c>
    </row>
    <row r="704" spans="1:3" x14ac:dyDescent="0.2">
      <c r="A704" s="399" t="s">
        <v>125</v>
      </c>
      <c r="B704" s="422" t="s">
        <v>1093</v>
      </c>
      <c r="C704" s="392" t="s">
        <v>589</v>
      </c>
    </row>
    <row r="705" spans="1:3" x14ac:dyDescent="0.2">
      <c r="A705" s="1" t="s">
        <v>79</v>
      </c>
      <c r="B705" s="422" t="s">
        <v>1044</v>
      </c>
      <c r="C705" s="392" t="s">
        <v>588</v>
      </c>
    </row>
    <row r="706" spans="1:3" s="399" customFormat="1" x14ac:dyDescent="0.2">
      <c r="A706" s="1" t="s">
        <v>57</v>
      </c>
      <c r="B706" s="422" t="s">
        <v>1078</v>
      </c>
      <c r="C706" s="399" t="s">
        <v>587</v>
      </c>
    </row>
    <row r="707" spans="1:3" s="399" customFormat="1" x14ac:dyDescent="0.2">
      <c r="A707" s="399" t="s">
        <v>16</v>
      </c>
      <c r="B707" s="422" t="s">
        <v>1025</v>
      </c>
      <c r="C707" s="399" t="s">
        <v>276</v>
      </c>
    </row>
    <row r="708" spans="1:3" x14ac:dyDescent="0.2">
      <c r="A708" s="1" t="s">
        <v>80</v>
      </c>
      <c r="B708" s="422" t="s">
        <v>1094</v>
      </c>
      <c r="C708" s="392" t="s">
        <v>586</v>
      </c>
    </row>
    <row r="709" spans="1:3" x14ac:dyDescent="0.2">
      <c r="A709" s="1" t="s">
        <v>81</v>
      </c>
      <c r="B709" s="429" t="s">
        <v>1095</v>
      </c>
      <c r="C709" s="392" t="s">
        <v>585</v>
      </c>
    </row>
    <row r="710" spans="1:3" x14ac:dyDescent="0.2">
      <c r="A710" s="1" t="s">
        <v>82</v>
      </c>
      <c r="B710" s="422" t="s">
        <v>1096</v>
      </c>
      <c r="C710" s="392" t="s">
        <v>584</v>
      </c>
    </row>
    <row r="711" spans="1:3" x14ac:dyDescent="0.2">
      <c r="A711" s="1" t="s">
        <v>83</v>
      </c>
      <c r="B711" s="422" t="s">
        <v>997</v>
      </c>
      <c r="C711" s="392" t="s">
        <v>583</v>
      </c>
    </row>
    <row r="712" spans="1:3" x14ac:dyDescent="0.2">
      <c r="A712" s="1" t="s">
        <v>84</v>
      </c>
      <c r="B712" s="422" t="s">
        <v>999</v>
      </c>
      <c r="C712" s="392" t="s">
        <v>582</v>
      </c>
    </row>
    <row r="713" spans="1:3" x14ac:dyDescent="0.2">
      <c r="A713" s="399"/>
    </row>
    <row r="714" spans="1:3" x14ac:dyDescent="0.2">
      <c r="A714" s="395" t="s">
        <v>542</v>
      </c>
      <c r="B714" s="395" t="str">
        <f>A714</f>
        <v>Termin &amp; FX</v>
      </c>
      <c r="C714" s="395" t="str">
        <f>B714</f>
        <v>Termin &amp; FX</v>
      </c>
    </row>
    <row r="715" spans="1:3" x14ac:dyDescent="0.2">
      <c r="A715" s="438" t="s">
        <v>30</v>
      </c>
      <c r="B715" s="429" t="s">
        <v>560</v>
      </c>
      <c r="C715" s="392" t="s">
        <v>559</v>
      </c>
    </row>
    <row r="716" spans="1:3" x14ac:dyDescent="0.2">
      <c r="A716" s="438" t="s">
        <v>85</v>
      </c>
      <c r="B716" s="429" t="s">
        <v>569</v>
      </c>
      <c r="C716" s="392" t="s">
        <v>570</v>
      </c>
    </row>
    <row r="717" spans="1:3" x14ac:dyDescent="0.2">
      <c r="A717" s="439" t="s">
        <v>543</v>
      </c>
      <c r="B717" s="429" t="s">
        <v>1097</v>
      </c>
      <c r="C717" s="392" t="s">
        <v>571</v>
      </c>
    </row>
    <row r="718" spans="1:3" x14ac:dyDescent="0.2">
      <c r="A718" s="399" t="s">
        <v>93</v>
      </c>
      <c r="B718" s="429" t="s">
        <v>1098</v>
      </c>
      <c r="C718" s="392" t="s">
        <v>572</v>
      </c>
    </row>
    <row r="719" spans="1:3" x14ac:dyDescent="0.2">
      <c r="A719" s="440" t="s">
        <v>97</v>
      </c>
      <c r="B719" s="429" t="s">
        <v>1099</v>
      </c>
      <c r="C719" s="392" t="s">
        <v>573</v>
      </c>
    </row>
    <row r="720" spans="1:3" x14ac:dyDescent="0.2">
      <c r="A720" s="440" t="s">
        <v>99</v>
      </c>
      <c r="B720" s="429" t="s">
        <v>575</v>
      </c>
      <c r="C720" s="392" t="s">
        <v>574</v>
      </c>
    </row>
    <row r="721" spans="1:3" x14ac:dyDescent="0.2">
      <c r="A721" s="440" t="s">
        <v>98</v>
      </c>
      <c r="B721" s="429" t="s">
        <v>576</v>
      </c>
      <c r="C721" s="392" t="s">
        <v>577</v>
      </c>
    </row>
    <row r="722" spans="1:3" x14ac:dyDescent="0.2">
      <c r="A722" s="440" t="s">
        <v>100</v>
      </c>
      <c r="B722" s="429" t="s">
        <v>578</v>
      </c>
      <c r="C722" s="392" t="s">
        <v>100</v>
      </c>
    </row>
    <row r="723" spans="1:3" x14ac:dyDescent="0.2">
      <c r="A723" s="399" t="s">
        <v>96</v>
      </c>
      <c r="B723" s="429" t="s">
        <v>1100</v>
      </c>
      <c r="C723" s="392" t="s">
        <v>579</v>
      </c>
    </row>
    <row r="724" spans="1:3" x14ac:dyDescent="0.2">
      <c r="A724" s="438" t="s">
        <v>94</v>
      </c>
      <c r="B724" s="429" t="s">
        <v>1101</v>
      </c>
      <c r="C724" s="392" t="s">
        <v>580</v>
      </c>
    </row>
    <row r="725" spans="1:3" x14ac:dyDescent="0.2">
      <c r="A725" s="438" t="s">
        <v>95</v>
      </c>
      <c r="B725" s="429" t="s">
        <v>1102</v>
      </c>
      <c r="C725" s="392" t="s">
        <v>581</v>
      </c>
    </row>
    <row r="726" spans="1:3" x14ac:dyDescent="0.2">
      <c r="A726" s="399"/>
    </row>
    <row r="727" spans="1:3" x14ac:dyDescent="0.2">
      <c r="A727" s="395" t="s">
        <v>501</v>
      </c>
      <c r="B727" s="395" t="s">
        <v>501</v>
      </c>
      <c r="C727" s="395" t="s">
        <v>501</v>
      </c>
    </row>
    <row r="728" spans="1:3" ht="12" customHeight="1" x14ac:dyDescent="0.2">
      <c r="A728" s="392" t="s">
        <v>1222</v>
      </c>
      <c r="B728" s="422" t="s">
        <v>1223</v>
      </c>
      <c r="C728" s="392" t="s">
        <v>1221</v>
      </c>
    </row>
    <row r="729" spans="1:3" ht="12" customHeight="1" x14ac:dyDescent="0.2">
      <c r="A729" s="392" t="s">
        <v>693</v>
      </c>
      <c r="B729" s="422" t="s">
        <v>1017</v>
      </c>
      <c r="C729" s="392" t="s">
        <v>1224</v>
      </c>
    </row>
    <row r="730" spans="1:3" ht="12" customHeight="1" x14ac:dyDescent="0.2">
      <c r="A730" s="392" t="s">
        <v>1214</v>
      </c>
      <c r="B730" s="422" t="s">
        <v>1225</v>
      </c>
      <c r="C730" s="432" t="s">
        <v>1530</v>
      </c>
    </row>
    <row r="731" spans="1:3" x14ac:dyDescent="0.2">
      <c r="A731" s="392" t="s">
        <v>1</v>
      </c>
      <c r="B731" s="422" t="s">
        <v>1103</v>
      </c>
      <c r="C731" s="392" t="s">
        <v>544</v>
      </c>
    </row>
    <row r="732" spans="1:3" x14ac:dyDescent="0.2">
      <c r="A732" s="392" t="s">
        <v>22</v>
      </c>
      <c r="B732" s="422" t="s">
        <v>550</v>
      </c>
      <c r="C732" s="392" t="s">
        <v>551</v>
      </c>
    </row>
    <row r="733" spans="1:3" x14ac:dyDescent="0.2">
      <c r="A733" s="392" t="s">
        <v>23</v>
      </c>
      <c r="B733" s="422" t="s">
        <v>546</v>
      </c>
      <c r="C733" s="392" t="s">
        <v>548</v>
      </c>
    </row>
    <row r="734" spans="1:3" x14ac:dyDescent="0.2">
      <c r="A734" s="392" t="s">
        <v>24</v>
      </c>
      <c r="B734" s="422" t="s">
        <v>549</v>
      </c>
      <c r="C734" s="392" t="s">
        <v>547</v>
      </c>
    </row>
    <row r="735" spans="1:3" x14ac:dyDescent="0.2">
      <c r="A735" s="392" t="s">
        <v>1226</v>
      </c>
      <c r="B735" s="392" t="s">
        <v>1227</v>
      </c>
      <c r="C735" s="392" t="s">
        <v>1228</v>
      </c>
    </row>
    <row r="736" spans="1:3" x14ac:dyDescent="0.2">
      <c r="A736" s="392" t="s">
        <v>1229</v>
      </c>
      <c r="B736" s="392" t="s">
        <v>1230</v>
      </c>
      <c r="C736" s="392" t="s">
        <v>1231</v>
      </c>
    </row>
    <row r="737" spans="1:3" x14ac:dyDescent="0.2">
      <c r="A737" s="392" t="s">
        <v>1232</v>
      </c>
      <c r="B737" s="392" t="s">
        <v>1233</v>
      </c>
      <c r="C737" s="392" t="s">
        <v>1234</v>
      </c>
    </row>
    <row r="738" spans="1:3" x14ac:dyDescent="0.2">
      <c r="A738" s="392" t="s">
        <v>25</v>
      </c>
      <c r="B738" s="422" t="s">
        <v>1104</v>
      </c>
      <c r="C738" s="392" t="s">
        <v>552</v>
      </c>
    </row>
    <row r="739" spans="1:3" x14ac:dyDescent="0.2">
      <c r="A739" s="392" t="s">
        <v>250</v>
      </c>
      <c r="B739" s="422" t="s">
        <v>1105</v>
      </c>
      <c r="C739" s="392" t="s">
        <v>553</v>
      </c>
    </row>
    <row r="740" spans="1:3" x14ac:dyDescent="0.2">
      <c r="A740" s="392" t="s">
        <v>502</v>
      </c>
      <c r="B740" s="422" t="s">
        <v>1106</v>
      </c>
      <c r="C740" s="392" t="s">
        <v>554</v>
      </c>
    </row>
    <row r="741" spans="1:3" x14ac:dyDescent="0.2">
      <c r="A741" s="392" t="s">
        <v>503</v>
      </c>
      <c r="B741" s="422" t="s">
        <v>503</v>
      </c>
      <c r="C741" s="392" t="s">
        <v>503</v>
      </c>
    </row>
    <row r="742" spans="1:3" x14ac:dyDescent="0.2">
      <c r="A742" s="392" t="s">
        <v>3</v>
      </c>
      <c r="B742" s="422" t="s">
        <v>555</v>
      </c>
      <c r="C742" s="392" t="s">
        <v>556</v>
      </c>
    </row>
    <row r="743" spans="1:3" x14ac:dyDescent="0.2">
      <c r="A743" s="392" t="s">
        <v>26</v>
      </c>
      <c r="B743" s="422" t="s">
        <v>940</v>
      </c>
      <c r="C743" s="392" t="s">
        <v>267</v>
      </c>
    </row>
    <row r="744" spans="1:3" x14ac:dyDescent="0.2">
      <c r="A744" s="392" t="s">
        <v>27</v>
      </c>
      <c r="B744" s="422" t="s">
        <v>941</v>
      </c>
      <c r="C744" s="392" t="s">
        <v>274</v>
      </c>
    </row>
    <row r="745" spans="1:3" x14ac:dyDescent="0.2">
      <c r="A745" s="392" t="s">
        <v>28</v>
      </c>
      <c r="B745" s="422" t="s">
        <v>942</v>
      </c>
      <c r="C745" s="392" t="s">
        <v>272</v>
      </c>
    </row>
    <row r="746" spans="1:3" x14ac:dyDescent="0.2">
      <c r="A746" s="392" t="s">
        <v>1254</v>
      </c>
      <c r="B746" s="432" t="s">
        <v>1506</v>
      </c>
      <c r="C746" s="432" t="s">
        <v>1513</v>
      </c>
    </row>
    <row r="747" spans="1:3" x14ac:dyDescent="0.2">
      <c r="A747" s="392" t="s">
        <v>1312</v>
      </c>
      <c r="B747" s="432" t="s">
        <v>1507</v>
      </c>
      <c r="C747" s="432" t="s">
        <v>1514</v>
      </c>
    </row>
    <row r="748" spans="1:3" x14ac:dyDescent="0.2">
      <c r="A748" s="392" t="s">
        <v>1255</v>
      </c>
      <c r="B748" s="432" t="s">
        <v>1508</v>
      </c>
      <c r="C748" s="432" t="s">
        <v>1515</v>
      </c>
    </row>
    <row r="749" spans="1:3" x14ac:dyDescent="0.2">
      <c r="A749" s="392" t="s">
        <v>1313</v>
      </c>
      <c r="B749" s="432" t="s">
        <v>1509</v>
      </c>
      <c r="C749" s="432" t="s">
        <v>1512</v>
      </c>
    </row>
    <row r="750" spans="1:3" x14ac:dyDescent="0.2">
      <c r="A750" s="392" t="s">
        <v>1314</v>
      </c>
      <c r="B750" s="432" t="s">
        <v>1510</v>
      </c>
      <c r="C750" s="432" t="s">
        <v>1516</v>
      </c>
    </row>
    <row r="751" spans="1:3" x14ac:dyDescent="0.2">
      <c r="A751" s="392" t="s">
        <v>1262</v>
      </c>
      <c r="B751" s="432" t="s">
        <v>1511</v>
      </c>
      <c r="C751" s="432" t="s">
        <v>1517</v>
      </c>
    </row>
    <row r="752" spans="1:3" x14ac:dyDescent="0.2">
      <c r="A752" s="392" t="s">
        <v>1569</v>
      </c>
      <c r="B752" s="432" t="s">
        <v>1575</v>
      </c>
      <c r="C752" s="432" t="s">
        <v>1574</v>
      </c>
    </row>
    <row r="753" spans="1:3" x14ac:dyDescent="0.2">
      <c r="A753" s="392" t="s">
        <v>1570</v>
      </c>
      <c r="B753" s="432" t="s">
        <v>1576</v>
      </c>
      <c r="C753" s="432" t="s">
        <v>1572</v>
      </c>
    </row>
    <row r="754" spans="1:3" x14ac:dyDescent="0.2">
      <c r="A754" s="392" t="s">
        <v>1571</v>
      </c>
      <c r="B754" s="432" t="s">
        <v>1577</v>
      </c>
      <c r="C754" s="432" t="s">
        <v>1573</v>
      </c>
    </row>
    <row r="755" spans="1:3" x14ac:dyDescent="0.2">
      <c r="A755" s="392" t="s">
        <v>1796</v>
      </c>
      <c r="B755" s="432" t="s">
        <v>1798</v>
      </c>
      <c r="C755" s="432" t="s">
        <v>1799</v>
      </c>
    </row>
    <row r="756" spans="1:3" x14ac:dyDescent="0.2">
      <c r="A756" s="392" t="s">
        <v>1797</v>
      </c>
      <c r="B756" s="432" t="s">
        <v>1800</v>
      </c>
      <c r="C756" s="432" t="s">
        <v>1801</v>
      </c>
    </row>
    <row r="757" spans="1:3" x14ac:dyDescent="0.2">
      <c r="A757" s="392" t="s">
        <v>1315</v>
      </c>
      <c r="B757" s="432" t="s">
        <v>1523</v>
      </c>
      <c r="C757" s="432" t="s">
        <v>1518</v>
      </c>
    </row>
    <row r="758" spans="1:3" x14ac:dyDescent="0.2">
      <c r="A758" s="392" t="s">
        <v>1278</v>
      </c>
      <c r="B758" s="432" t="s">
        <v>1524</v>
      </c>
      <c r="C758" s="432" t="s">
        <v>1519</v>
      </c>
    </row>
    <row r="759" spans="1:3" x14ac:dyDescent="0.2">
      <c r="A759" s="392" t="s">
        <v>1316</v>
      </c>
      <c r="B759" s="432" t="s">
        <v>1525</v>
      </c>
      <c r="C759" s="432" t="s">
        <v>1520</v>
      </c>
    </row>
    <row r="760" spans="1:3" x14ac:dyDescent="0.2">
      <c r="A760" s="392" t="s">
        <v>1317</v>
      </c>
      <c r="B760" s="432" t="s">
        <v>1527</v>
      </c>
      <c r="C760" s="432" t="s">
        <v>1521</v>
      </c>
    </row>
    <row r="761" spans="1:3" x14ac:dyDescent="0.2">
      <c r="A761" s="392" t="s">
        <v>1318</v>
      </c>
      <c r="B761" s="432" t="s">
        <v>1526</v>
      </c>
      <c r="C761" s="432" t="s">
        <v>1522</v>
      </c>
    </row>
    <row r="762" spans="1:3" x14ac:dyDescent="0.2">
      <c r="A762" s="392" t="s">
        <v>1319</v>
      </c>
      <c r="B762" s="432" t="s">
        <v>1528</v>
      </c>
      <c r="C762" s="432" t="s">
        <v>1529</v>
      </c>
    </row>
    <row r="763" spans="1:3" x14ac:dyDescent="0.2">
      <c r="A763" s="392" t="s">
        <v>1935</v>
      </c>
      <c r="B763" s="392" t="s">
        <v>1936</v>
      </c>
      <c r="C763" s="392" t="s">
        <v>1939</v>
      </c>
    </row>
    <row r="764" spans="1:3" x14ac:dyDescent="0.2">
      <c r="A764" s="392" t="s">
        <v>1933</v>
      </c>
      <c r="B764" s="432" t="s">
        <v>1937</v>
      </c>
      <c r="C764" s="432" t="s">
        <v>1940</v>
      </c>
    </row>
    <row r="765" spans="1:3" x14ac:dyDescent="0.2">
      <c r="A765" s="392" t="s">
        <v>1934</v>
      </c>
      <c r="B765" s="432" t="s">
        <v>1938</v>
      </c>
      <c r="C765" s="432" t="s">
        <v>1941</v>
      </c>
    </row>
    <row r="766" spans="1:3" x14ac:dyDescent="0.2">
      <c r="A766" s="392" t="s">
        <v>4</v>
      </c>
      <c r="B766" s="422" t="s">
        <v>896</v>
      </c>
      <c r="C766" s="392" t="s">
        <v>557</v>
      </c>
    </row>
    <row r="767" spans="1:3" x14ac:dyDescent="0.2">
      <c r="A767" s="392" t="s">
        <v>29</v>
      </c>
      <c r="B767" s="422" t="s">
        <v>561</v>
      </c>
      <c r="C767" s="392" t="s">
        <v>558</v>
      </c>
    </row>
    <row r="768" spans="1:3" x14ac:dyDescent="0.2">
      <c r="A768" s="392" t="s">
        <v>30</v>
      </c>
      <c r="B768" s="422" t="s">
        <v>560</v>
      </c>
      <c r="C768" s="392" t="s">
        <v>559</v>
      </c>
    </row>
    <row r="769" spans="1:3" x14ac:dyDescent="0.2">
      <c r="A769" s="392" t="s">
        <v>38</v>
      </c>
      <c r="B769" s="422" t="s">
        <v>562</v>
      </c>
      <c r="C769" s="392" t="s">
        <v>563</v>
      </c>
    </row>
    <row r="770" spans="1:3" x14ac:dyDescent="0.2">
      <c r="A770" s="437" t="s">
        <v>504</v>
      </c>
      <c r="B770" s="422" t="s">
        <v>1107</v>
      </c>
      <c r="C770" s="392" t="s">
        <v>564</v>
      </c>
    </row>
    <row r="771" spans="1:3" x14ac:dyDescent="0.2">
      <c r="A771" s="392" t="s">
        <v>119</v>
      </c>
      <c r="B771" s="422" t="s">
        <v>1108</v>
      </c>
      <c r="C771" s="392" t="s">
        <v>565</v>
      </c>
    </row>
    <row r="772" spans="1:3" x14ac:dyDescent="0.2">
      <c r="A772" s="392" t="s">
        <v>120</v>
      </c>
      <c r="B772" s="422" t="s">
        <v>1109</v>
      </c>
      <c r="C772" s="392" t="s">
        <v>566</v>
      </c>
    </row>
    <row r="773" spans="1:3" x14ac:dyDescent="0.2">
      <c r="A773" s="392" t="s">
        <v>1326</v>
      </c>
      <c r="B773" s="422" t="s">
        <v>1327</v>
      </c>
      <c r="C773" s="392" t="s">
        <v>1328</v>
      </c>
    </row>
    <row r="774" spans="1:3" x14ac:dyDescent="0.2">
      <c r="A774" s="392" t="s">
        <v>1320</v>
      </c>
      <c r="B774" s="392" t="s">
        <v>1322</v>
      </c>
      <c r="C774" s="392" t="s">
        <v>1324</v>
      </c>
    </row>
    <row r="775" spans="1:3" x14ac:dyDescent="0.2">
      <c r="A775" s="392" t="s">
        <v>1321</v>
      </c>
      <c r="B775" s="392" t="s">
        <v>1323</v>
      </c>
      <c r="C775" s="392" t="s">
        <v>1325</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7A8CB-8A2B-4327-9DFD-CE3E39EA3144}">
  <sheetPr>
    <tabColor rgb="FFFFFF00"/>
  </sheetPr>
  <dimension ref="A1:H60"/>
  <sheetViews>
    <sheetView showGridLines="0" tabSelected="1" zoomScaleNormal="100" workbookViewId="0">
      <selection activeCell="C25" sqref="C25:D25"/>
    </sheetView>
  </sheetViews>
  <sheetFormatPr baseColWidth="10" defaultColWidth="11.42578125" defaultRowHeight="18" customHeight="1" x14ac:dyDescent="0.2"/>
  <cols>
    <col min="1" max="1" width="2.140625" style="453" customWidth="1"/>
    <col min="2" max="2" width="46.28515625" style="453" customWidth="1"/>
    <col min="3" max="3" width="16.140625" style="453" customWidth="1"/>
    <col min="4" max="4" width="33" style="453" customWidth="1"/>
    <col min="5" max="5" width="6.140625" style="453" customWidth="1"/>
    <col min="6" max="6" width="16" style="453" customWidth="1"/>
    <col min="7" max="7" width="11.42578125" style="453"/>
    <col min="8" max="8" width="67.140625" style="453" customWidth="1"/>
    <col min="9" max="16384" width="11.42578125" style="453"/>
  </cols>
  <sheetData>
    <row r="1" spans="1:6" ht="67.5" customHeight="1" x14ac:dyDescent="0.2"/>
    <row r="2" spans="1:6" ht="17.25" customHeight="1" x14ac:dyDescent="0.2">
      <c r="B2" s="647" t="str">
        <f ca="1">OFFSET(Sprachen!A4,0,'START, DÉBUT, INIZIO'!$D$4-1,1,1)</f>
        <v>Version 1.0 März 2026</v>
      </c>
      <c r="C2" s="647"/>
    </row>
    <row r="3" spans="1:6" ht="7.5" customHeight="1" x14ac:dyDescent="0.2">
      <c r="B3" s="604"/>
      <c r="C3" s="604"/>
    </row>
    <row r="4" spans="1:6" s="559" customFormat="1" ht="26.25" customHeight="1" x14ac:dyDescent="0.2">
      <c r="A4" s="644"/>
      <c r="B4" s="645" t="s">
        <v>31</v>
      </c>
      <c r="C4" s="645"/>
      <c r="D4" s="646">
        <f>IF(C10="d",1,IF(C10="f",2,3))</f>
        <v>1</v>
      </c>
      <c r="E4" s="719">
        <f ca="1">IF(C14=DropDown!A30,1,2)</f>
        <v>2</v>
      </c>
      <c r="F4" s="665" t="e">
        <f ca="1">DropDown!F9</f>
        <v>#N/A</v>
      </c>
    </row>
    <row r="5" spans="1:6" ht="7.5" customHeight="1" x14ac:dyDescent="0.25">
      <c r="B5" s="620"/>
      <c r="C5" s="620"/>
      <c r="D5" s="450"/>
      <c r="E5" s="450"/>
      <c r="F5" s="621"/>
    </row>
    <row r="6" spans="1:6" ht="18" customHeight="1" x14ac:dyDescent="0.25">
      <c r="B6" s="622" t="str">
        <f ca="1">OFFSET(Sprachen!A5,0,'START, DÉBUT, INIZIO'!$D$4-1,1,1)</f>
        <v>Bitte füllen Sie alle blau hinterlegten Zellen aus</v>
      </c>
      <c r="C6" s="622"/>
      <c r="D6" s="450"/>
      <c r="E6" s="450"/>
      <c r="F6" s="621"/>
    </row>
    <row r="7" spans="1:6" ht="7.5" customHeight="1" x14ac:dyDescent="0.25">
      <c r="B7" s="622"/>
      <c r="C7" s="622"/>
      <c r="D7" s="450"/>
      <c r="E7" s="450"/>
      <c r="F7" s="621"/>
    </row>
    <row r="8" spans="1:6" ht="18" customHeight="1" x14ac:dyDescent="0.25">
      <c r="B8" s="643" t="s">
        <v>1213</v>
      </c>
      <c r="C8" s="643"/>
      <c r="D8" s="450"/>
      <c r="E8" s="450"/>
      <c r="F8" s="621"/>
    </row>
    <row r="9" spans="1:6" ht="12" customHeight="1" x14ac:dyDescent="0.25">
      <c r="B9" s="643"/>
      <c r="C9" s="643"/>
      <c r="D9" s="450"/>
      <c r="E9" s="450"/>
      <c r="F9" s="621"/>
    </row>
    <row r="10" spans="1:6" ht="18" customHeight="1" x14ac:dyDescent="0.2">
      <c r="B10" s="623" t="s">
        <v>1767</v>
      </c>
      <c r="C10" s="648" t="s">
        <v>32</v>
      </c>
    </row>
    <row r="11" spans="1:6" ht="18" customHeight="1" x14ac:dyDescent="0.2">
      <c r="D11" s="561"/>
    </row>
    <row r="12" spans="1:6" ht="18" customHeight="1" x14ac:dyDescent="0.25">
      <c r="B12" s="643" t="str">
        <f ca="1">OFFSET(Sprachen!A6,0,'START, DÉBUT, INIZIO'!$D$4-1,1,1)</f>
        <v>2. Gesuch</v>
      </c>
      <c r="C12" s="643"/>
      <c r="D12" s="450"/>
      <c r="E12" s="450"/>
      <c r="F12" s="450"/>
    </row>
    <row r="13" spans="1:6" ht="13.5" customHeight="1" x14ac:dyDescent="0.25">
      <c r="B13" s="643"/>
      <c r="C13" s="643"/>
      <c r="D13" s="450"/>
      <c r="E13" s="450"/>
      <c r="F13" s="450"/>
    </row>
    <row r="14" spans="1:6" ht="39.75" customHeight="1" x14ac:dyDescent="0.2">
      <c r="B14" s="623" t="str">
        <f ca="1">OFFSET(Sprachen!A728,0,'START, DÉBUT, INIZIO'!$D$4-1,1,1)</f>
        <v>Gesuch um</v>
      </c>
      <c r="C14" s="801"/>
      <c r="D14" s="802"/>
      <c r="E14" s="624"/>
    </row>
    <row r="15" spans="1:6" ht="18" customHeight="1" x14ac:dyDescent="0.2">
      <c r="B15" s="625"/>
      <c r="C15" s="625"/>
      <c r="D15" s="626"/>
      <c r="E15" s="626"/>
    </row>
    <row r="16" spans="1:6" ht="18" customHeight="1" x14ac:dyDescent="0.25">
      <c r="B16" s="643" t="str">
        <f ca="1">OFFSET(Sprachen!A7,0,'START, DÉBUT, INIZIO'!$D$4-1,1,1)</f>
        <v>3. Definition des Projekts</v>
      </c>
      <c r="C16" s="643"/>
      <c r="D16" s="450"/>
      <c r="E16" s="450"/>
    </row>
    <row r="17" spans="2:8" ht="12" customHeight="1" thickBot="1" x14ac:dyDescent="0.3">
      <c r="B17" s="643"/>
      <c r="C17" s="643"/>
      <c r="D17" s="450"/>
      <c r="E17" s="450"/>
    </row>
    <row r="18" spans="2:8" ht="32.25" customHeight="1" thickBot="1" x14ac:dyDescent="0.3">
      <c r="B18" s="550" t="str">
        <f ca="1">OFFSET(Sprachen!A735,0,'START, DÉBUT, INIZIO'!$D$4-1,1,1)</f>
        <v>Gross- / Kleinwasserkraft</v>
      </c>
      <c r="C18" s="803"/>
      <c r="D18" s="803"/>
      <c r="E18" s="450"/>
    </row>
    <row r="19" spans="2:8" s="627" customFormat="1" ht="18" customHeight="1" thickBot="1" x14ac:dyDescent="0.25">
      <c r="B19" s="550" t="str">
        <f ca="1">OFFSET(Sprachen!A13,0,'START, DÉBUT, INIZIO'!$D$4-1,1,1)</f>
        <v>Investitionstyp</v>
      </c>
      <c r="C19" s="803"/>
      <c r="D19" s="803"/>
      <c r="E19" s="690" t="str">
        <f ca="1">OFFSET(Sprachen!A16,0,'START, DÉBUT, INIZIO'!$D$4-1,1,1)</f>
        <v>siehe Blatt 1a</v>
      </c>
    </row>
    <row r="20" spans="2:8" s="627" customFormat="1" ht="18" customHeight="1" thickBot="1" x14ac:dyDescent="0.25">
      <c r="B20" s="550" t="str">
        <f ca="1">OFFSET(Sprachen!A14,0,'START, DÉBUT, INIZIO'!$D$4-1,1,1)</f>
        <v>Steuerbarkeit und Grösse</v>
      </c>
      <c r="C20" s="803"/>
      <c r="D20" s="803"/>
    </row>
    <row r="21" spans="2:8" s="627" customFormat="1" ht="18" customHeight="1" x14ac:dyDescent="0.2">
      <c r="B21" s="550" t="str">
        <f ca="1">OFFSET(Sprachen!A15,0,'START, DÉBUT, INIZIO'!$D$4-1,1,1)</f>
        <v>Kraftwerkstyp</v>
      </c>
      <c r="C21" s="804"/>
      <c r="D21" s="804"/>
    </row>
    <row r="23" spans="2:8" ht="18" customHeight="1" x14ac:dyDescent="0.25">
      <c r="B23" s="643" t="str">
        <f ca="1">OFFSET(Sprachen!A8,0,'START, DÉBUT, INIZIO'!$D$4-1,1,1)</f>
        <v>4. Bitte füllen Sie die folgenden Excel-Blätter aus</v>
      </c>
      <c r="C23" s="643"/>
      <c r="D23" s="450"/>
      <c r="E23" s="450"/>
      <c r="F23" s="450"/>
    </row>
    <row r="24" spans="2:8" ht="12" customHeight="1" x14ac:dyDescent="0.25">
      <c r="B24" s="450"/>
      <c r="C24" s="650"/>
      <c r="D24" s="650"/>
      <c r="E24" s="450"/>
    </row>
    <row r="25" spans="2:8" ht="18" customHeight="1" thickBot="1" x14ac:dyDescent="0.25">
      <c r="B25" s="550" t="str">
        <f ca="1">OFFSET(Sprachen!A9,0,'START, DÉBUT, INIZIO'!$D$4-1,1,1)</f>
        <v>Allgemeine Angaben</v>
      </c>
      <c r="C25" s="807" t="str">
        <f ca="1">OFFSET(Sprachen!A34,0,'START, DÉBUT, INIZIO'!$D$4-1,1,1)</f>
        <v>1 Allgemeines und Unterschrift</v>
      </c>
      <c r="D25" s="807"/>
      <c r="E25" s="628"/>
    </row>
    <row r="26" spans="2:8" ht="18" customHeight="1" thickTop="1" thickBot="1" x14ac:dyDescent="0.25">
      <c r="B26" s="550"/>
      <c r="C26" s="807"/>
      <c r="D26" s="807"/>
      <c r="E26" s="629"/>
    </row>
    <row r="27" spans="2:8" ht="18" customHeight="1" thickTop="1" thickBot="1" x14ac:dyDescent="0.25">
      <c r="B27" s="550"/>
      <c r="C27" s="807" t="str">
        <f ca="1">OFFSET(Sprachen!A147,0,'START, DÉBUT, INIZIO'!$D$4-1,1,1)</f>
        <v>1a Investitionstyp: Begründung</v>
      </c>
      <c r="D27" s="807"/>
      <c r="E27" s="630"/>
    </row>
    <row r="28" spans="2:8" ht="18" customHeight="1" thickTop="1" thickBot="1" x14ac:dyDescent="0.25">
      <c r="B28" s="550"/>
      <c r="C28" s="651"/>
      <c r="D28" s="583"/>
      <c r="E28" s="631"/>
    </row>
    <row r="29" spans="2:8" ht="18" customHeight="1" thickTop="1" thickBot="1" x14ac:dyDescent="0.25">
      <c r="B29" s="550"/>
      <c r="C29" s="807" t="str">
        <f ca="1">IF(C14=DropDown!A30,"",OFFSET(Sprachen!A166,0,'START, DÉBUT, INIZIO'!$D$4-1,1,1))</f>
        <v>1b Beitragssatz IB</v>
      </c>
      <c r="D29" s="807"/>
      <c r="E29" s="632"/>
    </row>
    <row r="30" spans="2:8" ht="18" customHeight="1" thickTop="1" thickBot="1" x14ac:dyDescent="0.25">
      <c r="B30" s="550"/>
      <c r="C30" s="652"/>
      <c r="D30" s="583"/>
      <c r="E30" s="633"/>
      <c r="H30" s="634"/>
    </row>
    <row r="31" spans="2:8" ht="18" customHeight="1" thickTop="1" thickBot="1" x14ac:dyDescent="0.25">
      <c r="B31" s="550" t="str">
        <f ca="1">OFFSET(Sprachen!A10,0,'START, DÉBUT, INIZIO'!$D$4-1,1,1)</f>
        <v>Technische Angaben</v>
      </c>
      <c r="C31" s="808" t="str">
        <f ca="1">OFFSET(Sprachen!A177,0,'START, DÉBUT, INIZIO'!$D$4-1,1,1)</f>
        <v>2 Technische Angaben &amp; Produktion</v>
      </c>
      <c r="D31" s="808"/>
      <c r="E31" s="635"/>
    </row>
    <row r="32" spans="2:8" ht="18" customHeight="1" thickTop="1" thickBot="1" x14ac:dyDescent="0.25">
      <c r="B32" s="550"/>
      <c r="C32" s="653"/>
      <c r="D32" s="583"/>
      <c r="E32" s="636"/>
    </row>
    <row r="33" spans="1:7" ht="18" customHeight="1" thickTop="1" thickBot="1" x14ac:dyDescent="0.25">
      <c r="B33" s="550" t="str">
        <f ca="1">OFFSET(Sprachen!A11,0,'START, DÉBUT, INIZIO'!$D$4-1,1,1)</f>
        <v>Investitionskosten</v>
      </c>
      <c r="C33" s="805" t="str">
        <f ca="1">OFFSET(Sprachen!A294,0,'START, DÉBUT, INIZIO'!$D$4-1,1,1)</f>
        <v>3. Investitionskosten</v>
      </c>
      <c r="D33" s="805"/>
      <c r="E33" s="637"/>
    </row>
    <row r="34" spans="1:7" ht="18" customHeight="1" thickTop="1" thickBot="1" x14ac:dyDescent="0.25">
      <c r="B34" s="550"/>
      <c r="C34" s="654"/>
      <c r="D34" s="583"/>
      <c r="E34" s="638"/>
    </row>
    <row r="35" spans="1:7" ht="18" customHeight="1" thickTop="1" x14ac:dyDescent="0.2">
      <c r="B35" s="550" t="str">
        <f ca="1">OFFSET(Sprachen!A12,0,'START, DÉBUT, INIZIO'!$D$4-1,1,1)</f>
        <v>Jahreskosten</v>
      </c>
      <c r="C35" s="805" t="e" cm="1">
        <f t="array" aca="1" ref="C35" ca="1">_xlfn.IFS(E35=1,HYPERLINK("#4.1!A1",4.1),E35=2,HYPERLINK("#4.2!A1",4.2),E35=3,HYPERLINK("#4.3!A1",4.3),E35=4,HYPERLINK("#4.4!A1",4.4),E35=5,HYPERLINK("#4.5!A1",4.5),E35=6,HYPERLINK("#4.6!A1",4.6),TRUE,"F")</f>
        <v>#N/A</v>
      </c>
      <c r="D35" s="805"/>
      <c r="E35" s="639" t="e">
        <f ca="1">DropDown!F9</f>
        <v>#N/A</v>
      </c>
      <c r="G35" s="640"/>
    </row>
    <row r="36" spans="1:7" ht="18" customHeight="1" x14ac:dyDescent="0.25">
      <c r="B36" s="450"/>
      <c r="C36" s="583"/>
      <c r="D36" s="583"/>
      <c r="G36" s="640"/>
    </row>
    <row r="38" spans="1:7" ht="18" customHeight="1" x14ac:dyDescent="0.25">
      <c r="B38" s="643" t="str">
        <f ca="1">OFFSET(Sprachen!A19,0,'START, DÉBUT, INIZIO'!$D$4-1,1,1)</f>
        <v>5. Unterschreiben Sie Blatt 1</v>
      </c>
      <c r="C38" s="643"/>
    </row>
    <row r="39" spans="1:7" ht="36" customHeight="1" x14ac:dyDescent="0.2">
      <c r="B39" s="806" t="str">
        <f ca="1">OFFSET(Sprachen!A20,0,'START, DÉBUT, INIZIO'!$D$4-1,1,1)</f>
        <v>vollständig ausgefülltes Blatt elektronisch unterschreiben oder ausdrucken, unterschreiben und als PDF beilegen</v>
      </c>
      <c r="C39" s="806"/>
      <c r="D39" s="806"/>
    </row>
    <row r="41" spans="1:7" ht="18" customHeight="1" x14ac:dyDescent="0.25">
      <c r="B41" s="643" t="str">
        <f ca="1">OFFSET(Sprachen!A21,0,'START, DÉBUT, INIZIO'!$D$4-1,1,1)</f>
        <v>6. Reichen Sie die Excel-Datei und die Beilagen (PDF) ein via</v>
      </c>
      <c r="C41" s="643"/>
    </row>
    <row r="42" spans="1:7" ht="12" customHeight="1" x14ac:dyDescent="0.25">
      <c r="B42" s="643"/>
      <c r="C42" s="643"/>
    </row>
    <row r="43" spans="1:7" ht="18" customHeight="1" x14ac:dyDescent="0.2">
      <c r="A43" s="703"/>
      <c r="B43" s="704" t="s">
        <v>1755</v>
      </c>
      <c r="C43" s="641"/>
    </row>
    <row r="44" spans="1:7" ht="18" customHeight="1" x14ac:dyDescent="0.2">
      <c r="A44" s="703"/>
      <c r="B44" s="704" t="s">
        <v>1838</v>
      </c>
      <c r="C44" s="642"/>
    </row>
    <row r="45" spans="1:7" ht="19.5" customHeight="1" x14ac:dyDescent="0.2">
      <c r="A45" s="703"/>
      <c r="B45" s="704" t="s">
        <v>1839</v>
      </c>
      <c r="E45" s="649"/>
      <c r="F45" s="649"/>
    </row>
    <row r="46" spans="1:7" ht="24.75" customHeight="1" x14ac:dyDescent="0.2"/>
    <row r="47" spans="1:7" x14ac:dyDescent="0.25">
      <c r="B47" s="705" t="str">
        <f ca="1">OFFSET(Sprachen!A24,0,'START, DÉBUT, INIZIO'!$D$4-1,1,1)</f>
        <v>Links / Kontakt</v>
      </c>
      <c r="C47" s="706"/>
      <c r="D47" s="706"/>
      <c r="E47" s="706"/>
      <c r="F47" s="707"/>
    </row>
    <row r="48" spans="1:7" ht="9" customHeight="1" x14ac:dyDescent="0.25">
      <c r="B48" s="708"/>
      <c r="C48" s="709"/>
      <c r="D48" s="709"/>
      <c r="E48" s="709"/>
      <c r="F48" s="710"/>
    </row>
    <row r="49" spans="1:6" ht="15.75" x14ac:dyDescent="0.25">
      <c r="B49" s="711" t="str">
        <f ca="1">OFFSET(Sprachen!A25,0,'START, DÉBUT, INIZIO'!$D$4-1,1,1)</f>
        <v>Recht</v>
      </c>
      <c r="C49" s="709"/>
      <c r="D49" s="709"/>
      <c r="E49" s="709"/>
      <c r="F49" s="710"/>
    </row>
    <row r="50" spans="1:6" ht="15" x14ac:dyDescent="0.2">
      <c r="B50" s="712" t="str">
        <f ca="1">OFFSET(Sprachen!A26,0,'START, DÉBUT, INIZIO'!$D$4-1,1,1)</f>
        <v>Energiegesetz (EnG) vom 30. September 2015 (SR 730.0)</v>
      </c>
      <c r="C50" s="709"/>
      <c r="D50" s="709"/>
      <c r="E50" s="709"/>
      <c r="F50" s="710"/>
    </row>
    <row r="51" spans="1:6" ht="36.75" customHeight="1" x14ac:dyDescent="0.2">
      <c r="B51" s="799" t="str">
        <f ca="1">OFFSET(Sprachen!A27,0,'START, DÉBUT, INIZIO'!$D$4-1,1,1)</f>
        <v>Energieförderungsverordnung (EnFV) vom 1. November 2017 (SR 730.03)</v>
      </c>
      <c r="C51" s="800"/>
      <c r="D51" s="800"/>
      <c r="E51" s="713"/>
      <c r="F51" s="714"/>
    </row>
    <row r="52" spans="1:6" ht="15.75" x14ac:dyDescent="0.25">
      <c r="B52" s="711" t="str">
        <f ca="1">OFFSET(Sprachen!A28,0,'START, DÉBUT, INIZIO'!$D$4-1,1,1)</f>
        <v>Wegleitungen, Faktenblätter (BFE-Webseite)</v>
      </c>
      <c r="C52" s="709"/>
      <c r="D52" s="709"/>
      <c r="E52" s="709"/>
      <c r="F52" s="710"/>
    </row>
    <row r="53" spans="1:6" ht="15" x14ac:dyDescent="0.2">
      <c r="B53" s="712" t="str">
        <f ca="1">OFFSET(Sprachen!A30,0,'START, DÉBUT, INIZIO'!$D$4-1,1,1)</f>
        <v>Gleitende Marktprämie Wasserkraft</v>
      </c>
      <c r="C53" s="709"/>
      <c r="D53" s="709"/>
      <c r="E53" s="709"/>
      <c r="F53" s="710"/>
    </row>
    <row r="54" spans="1:6" ht="14.25" customHeight="1" x14ac:dyDescent="0.2">
      <c r="A54" s="703"/>
      <c r="B54" s="712" t="str">
        <f ca="1">OFFSET(Sprachen!A29,0,'START, DÉBUT, INIZIO'!$D$4-1,1,1)</f>
        <v>Investitionsbeiträge Wasserkraft</v>
      </c>
      <c r="C54" s="709"/>
      <c r="D54" s="709"/>
      <c r="E54" s="709"/>
      <c r="F54" s="710"/>
    </row>
    <row r="55" spans="1:6" ht="7.5" customHeight="1" x14ac:dyDescent="0.2">
      <c r="B55" s="715"/>
      <c r="C55" s="709"/>
      <c r="D55" s="709"/>
      <c r="E55" s="709"/>
      <c r="F55" s="710"/>
    </row>
    <row r="56" spans="1:6" ht="15.75" x14ac:dyDescent="0.25">
      <c r="B56" s="711" t="str">
        <f ca="1">OFFSET(Sprachen!A31,0,'START, DÉBUT, INIZIO'!$D$4-1,1,1)</f>
        <v>Kontakt</v>
      </c>
      <c r="C56" s="709"/>
      <c r="D56" s="709"/>
      <c r="E56" s="709"/>
      <c r="F56" s="710"/>
    </row>
    <row r="57" spans="1:6" ht="15" x14ac:dyDescent="0.2">
      <c r="B57" s="712" t="s">
        <v>1372</v>
      </c>
      <c r="C57" s="709"/>
      <c r="D57" s="709"/>
      <c r="E57" s="709"/>
      <c r="F57" s="710"/>
    </row>
    <row r="58" spans="1:6" ht="7.5" customHeight="1" x14ac:dyDescent="0.2">
      <c r="B58" s="716"/>
      <c r="C58" s="717"/>
      <c r="D58" s="717"/>
      <c r="E58" s="717"/>
      <c r="F58" s="718"/>
    </row>
    <row r="60" spans="1:6" ht="18" customHeight="1" x14ac:dyDescent="0.2">
      <c r="B60" s="492" t="s">
        <v>1566</v>
      </c>
    </row>
  </sheetData>
  <sheetProtection algorithmName="SHA-512" hashValue="HZmn0An6J9u7FAGGXZppxmkDz0Kh0JyQx9P+P/Kso0usBwzKjMSxiau7Uxti4jn6zfJmTMc6Pxxikb7OYnKEUw==" saltValue="3Co0STZLD3VRQQaA1QSHUQ==" spinCount="100000" sheet="1" objects="1" scenarios="1"/>
  <mergeCells count="14">
    <mergeCell ref="B51:D51"/>
    <mergeCell ref="C14:D14"/>
    <mergeCell ref="C18:D18"/>
    <mergeCell ref="C19:D19"/>
    <mergeCell ref="C20:D20"/>
    <mergeCell ref="C21:D21"/>
    <mergeCell ref="C35:D35"/>
    <mergeCell ref="B39:D39"/>
    <mergeCell ref="C25:D25"/>
    <mergeCell ref="C27:D27"/>
    <mergeCell ref="C29:D29"/>
    <mergeCell ref="C31:D31"/>
    <mergeCell ref="C33:D33"/>
    <mergeCell ref="C26:D26"/>
  </mergeCells>
  <conditionalFormatting sqref="C25:C35">
    <cfRule type="containsBlanks" dxfId="362" priority="1">
      <formula>LEN(TRIM(C25))=0</formula>
    </cfRule>
  </conditionalFormatting>
  <conditionalFormatting sqref="E25:E35">
    <cfRule type="containsBlanks" dxfId="361" priority="5">
      <formula>LEN(TRIM(E25))=0</formula>
    </cfRule>
  </conditionalFormatting>
  <conditionalFormatting sqref="H30">
    <cfRule type="containsBlanks" dxfId="360" priority="4">
      <formula>LEN(TRIM(H30))=0</formula>
    </cfRule>
  </conditionalFormatting>
  <hyperlinks>
    <hyperlink ref="C31" location="'2 Techn. Angaben &amp; Produktion'!A1" display="2 Technische Angaben &amp; Produktion" xr:uid="{37886687-338E-4771-9178-DB8A2ECB5395}"/>
    <hyperlink ref="C33" location="'3 Investitionskosten'!A1" display="3 Investitionskosten" xr:uid="{098D8021-7A77-4E33-9BB5-AB92ADEAF7C1}"/>
    <hyperlink ref="C25" location="'1 Allgemeines &amp; Unterschrift'!A1" display="'1 Allgemeines &amp; Unterschrift'!A1" xr:uid="{E9F3396E-DCFC-4C21-9EB6-B81DC64FF282}"/>
    <hyperlink ref="C27" location="'1a Bestimmung Investitionstyp'!A1" display="'1a Bestimmung Investitionstyp'!A1" xr:uid="{2F355FA2-E063-41E7-BE19-45B72ABC63FA}"/>
    <hyperlink ref="C29" location="'1b Beitragssatz IB'!A1" display="'1b Beitragssatz IB'!A1" xr:uid="{C4BCB424-BD0D-47E3-8006-CF6E6DD0250C}"/>
    <hyperlink ref="C27:D27" location="'1a Begründung Investitionstyp'!A1" display="'1a Begründung Investitionstyp'!A1" xr:uid="{5FD8BFBB-9001-4E74-8E06-8D55943E1CB7}"/>
    <hyperlink ref="B44" r:id="rId1" xr:uid="{D97D1509-B2C7-4533-B768-7B014B15A710}"/>
    <hyperlink ref="B50" r:id="rId2" display="https://www.fedlex.admin.ch/eli/cc/2017/762/de" xr:uid="{C63340A8-7310-48F8-BF8F-B7F787600819}"/>
    <hyperlink ref="B51" r:id="rId3" display="https://www.fedlex.admin.ch/eli/cc/2017/766/de" xr:uid="{4A91F43B-BB9F-4B4A-8804-4CC8AC3CFE47}"/>
    <hyperlink ref="B54" r:id="rId4" display="https://www.bfe.admin.ch/bfe/de/home/foerderung/erneuerbare-energien/foerderung-wasserkraft/investitionsbeitraege-wasserkraft.html" xr:uid="{FA9B62CF-EE06-4DE4-94D1-D55ABA2DCD66}"/>
    <hyperlink ref="B53" r:id="rId5" display="https://www.bfe.admin.ch/bfe/de/home/foerderung/erneuerbare-energien/foerderung-wasserkraft/gleitende-marktpraemie-wasserkraft.html" xr:uid="{6D409E85-0143-4CB1-B9F3-C9A4DB126949}"/>
    <hyperlink ref="B60" location="'START, DÉBUT, INIZIO'!A1" display="Seitenanfang / haut de page / inizio pagina" xr:uid="{7FC6E1DC-1DE4-458A-8061-311189ED90B8}"/>
    <hyperlink ref="B52" r:id="rId6" display="https://www.fedlex.admin.ch/eli/cc/2017/766/de" xr:uid="{7E6D2EA9-824F-4A67-B67C-3063C28E8B95}"/>
    <hyperlink ref="B56" r:id="rId7" display="https://www.fedlex.admin.ch/eli/cc/2017/766/de" xr:uid="{7CF36397-1B16-4EF2-837F-F9B0386B85D1}"/>
    <hyperlink ref="B57" r:id="rId8" xr:uid="{53770473-8BFA-48BD-89E2-C0CB5A1CA652}"/>
    <hyperlink ref="B45" r:id="rId9" xr:uid="{BC0308F5-BDBF-4DCF-8741-2037D1F4A6F5}"/>
    <hyperlink ref="B43" r:id="rId10" xr:uid="{09638F01-9B32-46C0-9C56-50016C363585}"/>
  </hyperlinks>
  <pageMargins left="0.70866141732283472" right="0.70866141732283472" top="0.78740157480314965" bottom="0.78740157480314965" header="0.31496062992125984" footer="0.31496062992125984"/>
  <pageSetup paperSize="9" scale="69" orientation="portrait" r:id="rId11"/>
  <headerFooter>
    <oddFooter>Seite &amp;P von &amp;N</oddFooter>
  </headerFooter>
  <customProperties>
    <customPr name="EpmWorksheetKeyString_GUID" r:id="rId12"/>
  </customProperties>
  <drawing r:id="rId13"/>
  <extLst>
    <ext xmlns:x14="http://schemas.microsoft.com/office/spreadsheetml/2009/9/main" uri="{CCE6A557-97BC-4b89-ADB6-D9C93CAAB3DF}">
      <x14:dataValidations xmlns:xm="http://schemas.microsoft.com/office/excel/2006/main" count="6">
        <x14:dataValidation type="list" allowBlank="1" showInputMessage="1" showErrorMessage="1" xr:uid="{0321F553-0C6D-469C-84A7-E827F77DA8DD}">
          <x14:formula1>
            <xm:f>DropDown!$A$2:$A$4</xm:f>
          </x14:formula1>
          <xm:sqref>C19</xm:sqref>
        </x14:dataValidation>
        <x14:dataValidation type="list" allowBlank="1" showInputMessage="1" showErrorMessage="1" xr:uid="{962FE8F3-CCBC-4326-8490-55636B0A953E}">
          <x14:formula1>
            <xm:f>DropDown!$A$7:$A$9</xm:f>
          </x14:formula1>
          <xm:sqref>C20</xm:sqref>
        </x14:dataValidation>
        <x14:dataValidation type="list" allowBlank="1" showInputMessage="1" showErrorMessage="1" xr:uid="{3831DFE3-D6DF-441E-B9F1-7A6233832BCC}">
          <x14:formula1>
            <xm:f>DropDown!$A$12:$A$14</xm:f>
          </x14:formula1>
          <xm:sqref>C21</xm:sqref>
        </x14:dataValidation>
        <x14:dataValidation type="list" allowBlank="1" showInputMessage="1" showErrorMessage="1" xr:uid="{460AA1E3-0B53-4F27-B400-A43A13720870}">
          <x14:formula1>
            <xm:f>DropDown!$A$25:$A$27</xm:f>
          </x14:formula1>
          <xm:sqref>C10</xm:sqref>
        </x14:dataValidation>
        <x14:dataValidation type="list" allowBlank="1" showInputMessage="1" showErrorMessage="1" xr:uid="{9DA85DF0-AE49-4ACE-8C2D-B878F62555B0}">
          <x14:formula1>
            <xm:f>DropDown!$A$30:$A$31</xm:f>
          </x14:formula1>
          <xm:sqref>C14</xm:sqref>
        </x14:dataValidation>
        <x14:dataValidation type="list" allowBlank="1" showInputMessage="1" showErrorMessage="1" xr:uid="{16EC2E6A-7981-44EC-BF8B-5D9763CAF69F}">
          <x14:formula1>
            <xm:f>DropDown!$A$34:$A$35</xm:f>
          </x14:formula1>
          <xm:sqref>C18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7BC8-9842-42F0-AEA0-B701C8718AEE}">
  <sheetPr>
    <tabColor theme="8" tint="0.59999389629810485"/>
  </sheetPr>
  <dimension ref="A1:J171"/>
  <sheetViews>
    <sheetView showGridLines="0" zoomScaleNormal="100" workbookViewId="0"/>
  </sheetViews>
  <sheetFormatPr baseColWidth="10" defaultColWidth="11.42578125" defaultRowHeight="18" customHeight="1" x14ac:dyDescent="0.2"/>
  <cols>
    <col min="1" max="1" width="2.7109375" style="453" customWidth="1"/>
    <col min="2" max="2" width="2.5703125" style="453" customWidth="1"/>
    <col min="3" max="3" width="4.5703125" style="453" customWidth="1"/>
    <col min="4" max="4" width="27" style="550" customWidth="1"/>
    <col min="5" max="6" width="22.7109375" style="561" customWidth="1"/>
    <col min="7" max="7" width="23.85546875" style="453" customWidth="1"/>
    <col min="8" max="8" width="22.7109375" style="453" customWidth="1"/>
    <col min="9" max="9" width="23.85546875" style="453" customWidth="1"/>
    <col min="10" max="10" width="14.28515625" style="453" customWidth="1"/>
    <col min="11" max="11" width="18.5703125" style="453" customWidth="1"/>
    <col min="12" max="16384" width="11.42578125" style="453"/>
  </cols>
  <sheetData>
    <row r="1" spans="1:10" s="559" customFormat="1" ht="26.25" customHeight="1" x14ac:dyDescent="0.2">
      <c r="A1" s="589" t="str">
        <f ca="1">OFFSET(Sprachen!A34,0,'START, DÉBUT, INIZIO'!$D$4-1,1,1)</f>
        <v>1 Allgemeines und Unterschrift</v>
      </c>
      <c r="B1" s="555"/>
      <c r="C1" s="555"/>
      <c r="D1" s="556"/>
      <c r="E1" s="557"/>
      <c r="F1" s="557"/>
      <c r="G1" s="555"/>
      <c r="H1" s="555"/>
      <c r="I1" s="591" t="s">
        <v>1582</v>
      </c>
    </row>
    <row r="2" spans="1:10" ht="7.5" customHeight="1" x14ac:dyDescent="0.2">
      <c r="A2" s="560"/>
    </row>
    <row r="3" spans="1:10" ht="18" customHeight="1" x14ac:dyDescent="0.2">
      <c r="A3" s="562" t="str">
        <f ca="1">OFFSET(Sprachen!A5,0,'START, DÉBUT, INIZIO'!$D$4-1,1,1)</f>
        <v>Bitte füllen Sie alle blau hinterlegten Zellen aus</v>
      </c>
    </row>
    <row r="4" spans="1:10" ht="7.5" customHeight="1" x14ac:dyDescent="0.2"/>
    <row r="5" spans="1:10" ht="18" customHeight="1" x14ac:dyDescent="0.25">
      <c r="A5" s="588" t="str">
        <f ca="1">CONCATENATE('START, DÉBUT, INIZIO'!B14," ",'START, DÉBUT, INIZIO'!C14)</f>
        <v xml:space="preserve">Gesuch um </v>
      </c>
      <c r="B5" s="563"/>
      <c r="C5" s="563"/>
      <c r="E5" s="491"/>
      <c r="F5" s="491"/>
      <c r="G5" s="491"/>
      <c r="H5" s="563"/>
      <c r="J5" s="563"/>
    </row>
    <row r="6" spans="1:10" ht="12" customHeight="1" x14ac:dyDescent="0.25">
      <c r="A6" s="490"/>
      <c r="B6" s="563"/>
      <c r="C6" s="563"/>
      <c r="E6" s="551"/>
      <c r="F6" s="551"/>
      <c r="G6" s="563"/>
      <c r="H6" s="563"/>
      <c r="I6" s="563"/>
      <c r="J6" s="563"/>
    </row>
    <row r="7" spans="1:10" ht="18" customHeight="1" x14ac:dyDescent="0.25">
      <c r="A7" s="588" t="str">
        <f ca="1">OFFSET(Sprachen!A36,0,'START, DÉBUT, INIZIO'!$D$4-1,1,1)</f>
        <v>1. Allgemeine Angaben</v>
      </c>
      <c r="B7" s="563"/>
      <c r="C7" s="563"/>
      <c r="D7" s="554"/>
      <c r="E7" s="551"/>
      <c r="F7" s="551"/>
      <c r="G7" s="563"/>
      <c r="H7" s="563"/>
      <c r="I7" s="563"/>
      <c r="J7" s="563"/>
    </row>
    <row r="8" spans="1:10" ht="12" customHeight="1" x14ac:dyDescent="0.2">
      <c r="B8" s="563"/>
      <c r="C8" s="563"/>
      <c r="D8" s="554"/>
      <c r="E8" s="551"/>
      <c r="F8" s="551"/>
      <c r="G8" s="563"/>
      <c r="H8" s="563"/>
      <c r="I8" s="563"/>
      <c r="J8" s="563"/>
    </row>
    <row r="9" spans="1:10" ht="18" customHeight="1" x14ac:dyDescent="0.2">
      <c r="A9" s="563"/>
      <c r="B9" s="563"/>
      <c r="C9" s="564"/>
      <c r="D9" s="549" t="str">
        <f ca="1">OFFSET(Sprachen!A37,0,'START, DÉBUT, INIZIO'!$D$4-1,1,1)</f>
        <v>Projektname</v>
      </c>
      <c r="E9" s="838"/>
      <c r="F9" s="838"/>
      <c r="G9" s="838"/>
    </row>
    <row r="10" spans="1:10" ht="18" customHeight="1" x14ac:dyDescent="0.2">
      <c r="A10" s="563"/>
      <c r="B10" s="563"/>
      <c r="C10" s="564"/>
      <c r="E10" s="551"/>
      <c r="F10" s="552"/>
      <c r="G10" s="552"/>
      <c r="H10" s="553"/>
    </row>
    <row r="11" spans="1:10" ht="18" customHeight="1" x14ac:dyDescent="0.2">
      <c r="A11" s="563"/>
      <c r="B11" s="563"/>
      <c r="C11" s="564"/>
      <c r="D11" s="549" t="str">
        <f ca="1">OFFSET(Sprachen!A38,0,'START, DÉBUT, INIZIO'!$D$4-1,1,1)</f>
        <v>Gesuchsteller/in</v>
      </c>
      <c r="E11" s="592" t="str">
        <f ca="1">OFFSET(Sprachen!A39,0,'START, DÉBUT, INIZIO'!$D$4-1,1,1)</f>
        <v>Betreiber/in der Anlage</v>
      </c>
      <c r="F11" s="593"/>
      <c r="G11" s="549" t="str">
        <f ca="1">OFFSET(Sprachen!A46,0,'START, DÉBUT, INIZIO'!$D$4-1,1,1)</f>
        <v>Ansprechperson</v>
      </c>
      <c r="H11" s="552"/>
      <c r="I11" s="552"/>
    </row>
    <row r="12" spans="1:10" ht="33.75" customHeight="1" thickBot="1" x14ac:dyDescent="0.25">
      <c r="A12" s="563"/>
      <c r="B12" s="563"/>
      <c r="C12" s="564"/>
      <c r="D12" s="554" t="str">
        <f ca="1">OFFSET(Sprachen!A40,0,'START, DÉBUT, INIZIO'!$D$4-1,1,1)</f>
        <v>Firma / Name</v>
      </c>
      <c r="E12" s="839"/>
      <c r="F12" s="839"/>
      <c r="G12" s="554" t="str">
        <f ca="1">OFFSET(Sprachen!A47,0,'START, DÉBUT, INIZIO'!$D$4-1,1,1)</f>
        <v>Vorname, Name</v>
      </c>
      <c r="H12" s="849"/>
      <c r="I12" s="849"/>
    </row>
    <row r="13" spans="1:10" ht="18" customHeight="1" thickBot="1" x14ac:dyDescent="0.25">
      <c r="A13" s="563"/>
      <c r="B13" s="563"/>
      <c r="C13" s="564"/>
      <c r="D13" s="554" t="str">
        <f ca="1">OFFSET(Sprachen!A41,0,'START, DÉBUT, INIZIO'!$D$4-1,1,1)</f>
        <v>Strasse / Nr.</v>
      </c>
      <c r="E13" s="803"/>
      <c r="F13" s="803"/>
      <c r="G13" s="554" t="str">
        <f ca="1">OFFSET(Sprachen!A48,0,'START, DÉBUT, INIZIO'!$D$4-1,1,1)</f>
        <v>Funktion</v>
      </c>
      <c r="H13" s="835"/>
      <c r="I13" s="835"/>
    </row>
    <row r="14" spans="1:10" ht="18" customHeight="1" thickBot="1" x14ac:dyDescent="0.25">
      <c r="A14" s="563"/>
      <c r="B14" s="563"/>
      <c r="C14" s="564"/>
      <c r="D14" s="554" t="str">
        <f ca="1">OFFSET(Sprachen!A42,0,'START, DÉBUT, INIZIO'!$D$4-1,1,1)</f>
        <v>PLZ / Ort</v>
      </c>
      <c r="E14" s="803"/>
      <c r="F14" s="803"/>
      <c r="G14" s="554" t="str">
        <f ca="1">OFFSET(Sprachen!A41,0,'START, DÉBUT, INIZIO'!$D$4-1,1,1)</f>
        <v>Strasse / Nr.</v>
      </c>
      <c r="H14" s="835"/>
      <c r="I14" s="835"/>
    </row>
    <row r="15" spans="1:10" ht="18" customHeight="1" thickBot="1" x14ac:dyDescent="0.25">
      <c r="A15" s="563"/>
      <c r="B15" s="563"/>
      <c r="C15" s="564"/>
      <c r="D15" s="554" t="str">
        <f ca="1">OFFSET(Sprachen!A43,0,'START, DÉBUT, INIZIO'!$D$4-1,1,1)</f>
        <v>E-Mail</v>
      </c>
      <c r="E15" s="803"/>
      <c r="F15" s="803"/>
      <c r="G15" s="554" t="str">
        <f ca="1">OFFSET(Sprachen!A42,0,'START, DÉBUT, INIZIO'!$D$4-1,1,1)</f>
        <v>PLZ / Ort</v>
      </c>
      <c r="H15" s="835"/>
      <c r="I15" s="835"/>
    </row>
    <row r="16" spans="1:10" ht="18" customHeight="1" thickBot="1" x14ac:dyDescent="0.25">
      <c r="A16" s="563"/>
      <c r="B16" s="563"/>
      <c r="C16" s="564"/>
      <c r="D16" s="554" t="str">
        <f ca="1">OFFSET(Sprachen!A44,0,'START, DÉBUT, INIZIO'!$D$4-1,1,1)</f>
        <v>Tel.</v>
      </c>
      <c r="E16" s="804"/>
      <c r="F16" s="804"/>
      <c r="G16" s="554" t="str">
        <f ca="1">OFFSET(Sprachen!A43,0,'START, DÉBUT, INIZIO'!$D$4-1,1,1)</f>
        <v>E-Mail</v>
      </c>
      <c r="H16" s="835"/>
      <c r="I16" s="835"/>
    </row>
    <row r="17" spans="1:9" ht="18" customHeight="1" x14ac:dyDescent="0.2">
      <c r="A17" s="563"/>
      <c r="B17" s="563"/>
      <c r="C17" s="564"/>
      <c r="D17" s="554" t="str">
        <f ca="1">OFFSET(Sprachen!A45,0,'START, DÉBUT, INIZIO'!$D$4-1,1,1)</f>
        <v>Mehrwertsteuerpflichtig</v>
      </c>
      <c r="E17" s="590"/>
      <c r="F17" s="593"/>
      <c r="G17" s="554" t="str">
        <f ca="1">OFFSET(Sprachen!A44,0,'START, DÉBUT, INIZIO'!$D$4-1,1,1)</f>
        <v>Tel.</v>
      </c>
      <c r="H17" s="828"/>
      <c r="I17" s="828"/>
    </row>
    <row r="19" spans="1:9" ht="18" customHeight="1" x14ac:dyDescent="0.2">
      <c r="D19" s="549" t="str">
        <f ca="1">OFFSET(Sprachen!A49,0,'START, DÉBUT, INIZIO'!$D$4-1,1,1)</f>
        <v>Zentrale</v>
      </c>
      <c r="E19" s="592" t="str">
        <f ca="1">OFFSET(Sprachen!A50,0,'START, DÉBUT, INIZIO'!$D$4-1,1,1)</f>
        <v>Bezeichnung</v>
      </c>
      <c r="F19" s="592" t="str">
        <f ca="1">OFFSET(Sprachen!A51,0,'START, DÉBUT, INIZIO'!$D$4-1,1,1)</f>
        <v>Koordinaten oder Strasse, Nr.</v>
      </c>
      <c r="G19" s="613"/>
      <c r="H19" s="592" t="str">
        <f ca="1">OFFSET(Sprachen!A42,0,'START, DÉBUT, INIZIO'!$D$4-1,1,1)</f>
        <v>PLZ / Ort</v>
      </c>
      <c r="I19" s="592" t="str">
        <f ca="1">OFFSET(Sprachen!A52,0,'START, DÉBUT, INIZIO'!$D$4-1,1,1)</f>
        <v>Kanton</v>
      </c>
    </row>
    <row r="20" spans="1:9" ht="18" customHeight="1" x14ac:dyDescent="0.2">
      <c r="D20" s="549"/>
      <c r="E20" s="594"/>
      <c r="F20" s="836"/>
      <c r="G20" s="837"/>
      <c r="H20" s="612"/>
      <c r="I20" s="595"/>
    </row>
    <row r="21" spans="1:9" ht="18" customHeight="1" x14ac:dyDescent="0.2">
      <c r="D21" s="554"/>
      <c r="E21" s="563"/>
      <c r="F21" s="563"/>
      <c r="G21" s="563"/>
    </row>
    <row r="22" spans="1:9" ht="31.5" customHeight="1" x14ac:dyDescent="0.25">
      <c r="C22" s="842" t="str">
        <f ca="1">OFFSET(Sprachen!A53,0,'START, DÉBUT, INIZIO'!$D$4-1,1,1)</f>
        <v>Wasserfassung / Wehre</v>
      </c>
      <c r="D22" s="842"/>
      <c r="E22" s="603" t="str">
        <f ca="1">OFFSET(Sprachen!A50,0,'START, DÉBUT, INIZIO'!$D$4-1,1,1)</f>
        <v>Bezeichnung</v>
      </c>
      <c r="F22" s="603"/>
      <c r="G22" s="603" t="str">
        <f ca="1">OFFSET(Sprachen!A54,0,'START, DÉBUT, INIZIO'!$D$4-1,1,1)</f>
        <v>Koordinaten</v>
      </c>
      <c r="H22" s="603" t="str">
        <f ca="1">OFFSET(Sprachen!A55,0,'START, DÉBUT, INIZIO'!$D$4-1,1,1)</f>
        <v>Gewässer</v>
      </c>
    </row>
    <row r="23" spans="1:9" ht="18" customHeight="1" thickBot="1" x14ac:dyDescent="0.25">
      <c r="D23" s="566">
        <v>1</v>
      </c>
      <c r="E23" s="843"/>
      <c r="F23" s="844"/>
      <c r="G23" s="597"/>
      <c r="H23" s="662"/>
    </row>
    <row r="24" spans="1:9" ht="18" customHeight="1" thickBot="1" x14ac:dyDescent="0.25">
      <c r="D24" s="566">
        <v>2</v>
      </c>
      <c r="E24" s="845"/>
      <c r="F24" s="846"/>
      <c r="G24" s="660"/>
      <c r="H24" s="663"/>
    </row>
    <row r="25" spans="1:9" ht="18" customHeight="1" x14ac:dyDescent="0.2">
      <c r="D25" s="566">
        <v>3</v>
      </c>
      <c r="E25" s="847"/>
      <c r="F25" s="848"/>
      <c r="G25" s="661"/>
      <c r="H25" s="664"/>
    </row>
    <row r="26" spans="1:9" ht="18" customHeight="1" x14ac:dyDescent="0.2">
      <c r="D26" s="566"/>
      <c r="E26" s="858" t="str">
        <f ca="1">OFFSET(Sprachen!A56,0,'START, DÉBUT, INIZIO'!$D$4-1,1,1)</f>
        <v>weitere Zeilen nach Bedarf einfügen</v>
      </c>
      <c r="F26" s="858"/>
      <c r="G26" s="563"/>
    </row>
    <row r="27" spans="1:9" ht="14.25" customHeight="1" x14ac:dyDescent="0.2">
      <c r="D27" s="554"/>
      <c r="E27" s="563"/>
      <c r="F27" s="563"/>
      <c r="G27" s="563"/>
    </row>
    <row r="28" spans="1:9" ht="18" customHeight="1" x14ac:dyDescent="0.2">
      <c r="D28" s="549" t="str">
        <f ca="1">OFFSET(Sprachen!A57,0,'START, DÉBUT, INIZIO'!$D$4-1,1,1)</f>
        <v>Reservoire</v>
      </c>
      <c r="E28" s="592" t="str">
        <f ca="1">OFFSET(Sprachen!A50,0,'START, DÉBUT, INIZIO'!$D$4-1,1,1)</f>
        <v>Bezeichnung</v>
      </c>
      <c r="F28" s="604"/>
      <c r="G28" s="592" t="str">
        <f ca="1">OFFSET(Sprachen!A54,0,'START, DÉBUT, INIZIO'!$D$4-1,1,1)</f>
        <v>Koordinaten</v>
      </c>
    </row>
    <row r="29" spans="1:9" ht="18" customHeight="1" thickBot="1" x14ac:dyDescent="0.25">
      <c r="D29" s="566">
        <v>1</v>
      </c>
      <c r="E29" s="843"/>
      <c r="F29" s="844"/>
      <c r="G29" s="596"/>
    </row>
    <row r="30" spans="1:9" ht="18" customHeight="1" x14ac:dyDescent="0.2">
      <c r="D30" s="566">
        <v>2</v>
      </c>
      <c r="E30" s="847"/>
      <c r="F30" s="848"/>
      <c r="G30" s="601"/>
    </row>
    <row r="31" spans="1:9" ht="18" customHeight="1" x14ac:dyDescent="0.2">
      <c r="D31" s="566"/>
      <c r="E31" s="858" t="str">
        <f ca="1">OFFSET(Sprachen!A56,0,'START, DÉBUT, INIZIO'!$D$4-1,1,1)</f>
        <v>weitere Zeilen nach Bedarf einfügen</v>
      </c>
      <c r="F31" s="858"/>
      <c r="G31" s="563"/>
    </row>
    <row r="32" spans="1:9" ht="13.5" customHeight="1" x14ac:dyDescent="0.2">
      <c r="D32" s="554"/>
      <c r="E32" s="563"/>
      <c r="F32" s="563"/>
      <c r="G32" s="563"/>
    </row>
    <row r="33" spans="1:9" ht="18" customHeight="1" x14ac:dyDescent="0.2">
      <c r="D33" s="549" t="str">
        <f ca="1">OFFSET(Sprachen!A58,0,'START, DÉBUT, INIZIO'!$D$4-1,1,1)</f>
        <v>Wasserrückgaben</v>
      </c>
      <c r="E33" s="592" t="str">
        <f ca="1">OFFSET(Sprachen!A50,0,'START, DÉBUT, INIZIO'!$D$4-1,1,1)</f>
        <v>Bezeichnung</v>
      </c>
      <c r="F33" s="592"/>
      <c r="G33" s="592" t="str">
        <f ca="1">OFFSET(Sprachen!A54,0,'START, DÉBUT, INIZIO'!$D$4-1,1,1)</f>
        <v>Koordinaten</v>
      </c>
      <c r="H33" s="592" t="str">
        <f ca="1">OFFSET(Sprachen!A55,0,'START, DÉBUT, INIZIO'!$D$4-1,1,1)</f>
        <v>Gewässer</v>
      </c>
    </row>
    <row r="34" spans="1:9" ht="18" customHeight="1" thickBot="1" x14ac:dyDescent="0.25">
      <c r="D34" s="566">
        <v>1</v>
      </c>
      <c r="E34" s="843"/>
      <c r="F34" s="844"/>
      <c r="G34" s="596"/>
      <c r="H34" s="662"/>
    </row>
    <row r="35" spans="1:9" ht="18" customHeight="1" thickBot="1" x14ac:dyDescent="0.25">
      <c r="D35" s="566">
        <v>2</v>
      </c>
      <c r="E35" s="845"/>
      <c r="F35" s="846"/>
      <c r="G35" s="599"/>
      <c r="H35" s="663"/>
    </row>
    <row r="36" spans="1:9" ht="18" customHeight="1" thickBot="1" x14ac:dyDescent="0.25">
      <c r="D36" s="566">
        <v>3</v>
      </c>
      <c r="E36" s="845"/>
      <c r="F36" s="846"/>
      <c r="G36" s="599"/>
      <c r="H36" s="664"/>
    </row>
    <row r="37" spans="1:9" ht="18" customHeight="1" x14ac:dyDescent="0.2">
      <c r="D37" s="567"/>
      <c r="E37" s="859" t="str">
        <f ca="1">OFFSET(Sprachen!A56,0,'START, DÉBUT, INIZIO'!$D$4-1,1,1)</f>
        <v>weitere Zeilen nach Bedarf einfügen</v>
      </c>
      <c r="F37" s="859"/>
    </row>
    <row r="38" spans="1:9" ht="13.5" customHeight="1" x14ac:dyDescent="0.2"/>
    <row r="39" spans="1:9" ht="18" customHeight="1" thickBot="1" x14ac:dyDescent="0.25">
      <c r="A39" s="563"/>
      <c r="B39" s="564"/>
      <c r="C39" s="564"/>
      <c r="D39" s="549" t="str">
        <f ca="1">OFFSET(Sprachen!A13,0,'START, DÉBUT, INIZIO'!$D$4-1,1,1)</f>
        <v>Investitionstyp</v>
      </c>
      <c r="E39" s="860">
        <f>'START, DÉBUT, INIZIO'!C19</f>
        <v>0</v>
      </c>
      <c r="F39" s="861"/>
      <c r="G39" s="569" t="str">
        <f ca="1">OFFSET(Sprachen!A59,0,'START, DÉBUT, INIZIO'!$D$4-1,1,1)</f>
        <v>Wert aus Blatt "START"</v>
      </c>
    </row>
    <row r="40" spans="1:9" ht="18" customHeight="1" x14ac:dyDescent="0.2">
      <c r="A40" s="563"/>
      <c r="B40" s="564"/>
      <c r="C40" s="564"/>
      <c r="D40" s="554"/>
      <c r="E40" s="570"/>
      <c r="F40" s="551"/>
      <c r="G40" s="563"/>
    </row>
    <row r="41" spans="1:9" ht="18" customHeight="1" x14ac:dyDescent="0.25">
      <c r="A41" s="588" t="str">
        <f ca="1">OFFSET(Sprachen!A60,0,'START, DÉBUT, INIZIO'!$D$4-1,1,1)</f>
        <v>2. Baureife</v>
      </c>
      <c r="B41" s="564"/>
      <c r="D41" s="554"/>
      <c r="E41" s="551"/>
      <c r="F41" s="551"/>
      <c r="G41" s="563"/>
    </row>
    <row r="42" spans="1:9" ht="7.5" customHeight="1" x14ac:dyDescent="0.25">
      <c r="A42" s="588"/>
      <c r="B42" s="564"/>
      <c r="D42" s="554"/>
      <c r="E42" s="551"/>
      <c r="F42" s="551"/>
      <c r="G42" s="563"/>
    </row>
    <row r="43" spans="1:9" ht="34.5" customHeight="1" x14ac:dyDescent="0.2">
      <c r="A43" s="811" t="str">
        <f ca="1">OFFSET(Sprachen!A61,0,'START, DÉBUT, INIZIO'!$D$4-1,1,1)</f>
        <v>Das Gesuch kann erst gestellt werden, wenn eine rechtskräftige Baubewilligung vorliegt oder, sofern für ein Projekt keine Baubewilligung erforderlich ist, die Baureife des Projekts nachgewiesen ist (Art. 53 Abs. 2 EnFV).</v>
      </c>
      <c r="B43" s="811"/>
      <c r="C43" s="811"/>
      <c r="D43" s="811"/>
      <c r="E43" s="811"/>
      <c r="F43" s="811"/>
      <c r="G43" s="811"/>
      <c r="H43" s="811"/>
      <c r="I43" s="811"/>
    </row>
    <row r="44" spans="1:9" ht="12" customHeight="1" x14ac:dyDescent="0.2">
      <c r="A44" s="563"/>
      <c r="B44" s="564"/>
      <c r="C44" s="564"/>
      <c r="D44" s="554"/>
      <c r="E44" s="551"/>
      <c r="F44" s="551"/>
      <c r="G44" s="563"/>
    </row>
    <row r="45" spans="1:9" ht="18" customHeight="1" x14ac:dyDescent="0.2">
      <c r="A45" s="563"/>
      <c r="B45" s="564"/>
      <c r="C45" s="564"/>
      <c r="D45" s="549" t="str">
        <f ca="1">OFFSET(Sprachen!A62,0,'START, DÉBUT, INIZIO'!$D$4-1,1,1)</f>
        <v>Baureife</v>
      </c>
      <c r="E45" s="841"/>
      <c r="F45" s="841"/>
      <c r="G45" s="841"/>
      <c r="H45" s="841"/>
    </row>
    <row r="46" spans="1:9" ht="18" customHeight="1" x14ac:dyDescent="0.2">
      <c r="A46" s="563"/>
      <c r="B46" s="564"/>
      <c r="C46" s="564"/>
      <c r="D46" s="549"/>
      <c r="E46" s="696"/>
      <c r="F46" s="696"/>
      <c r="G46" s="696"/>
      <c r="H46" s="696"/>
    </row>
    <row r="47" spans="1:9" ht="34.5" customHeight="1" x14ac:dyDescent="0.2">
      <c r="A47" s="811" t="str">
        <f ca="1">OFFSET(Sprachen!A63,0,'START, DÉBUT, INIZIO'!$D$4-1,1,1)</f>
        <v>Eine Kopie der rechtskräftigen Baubewilligung sowie eine Rechtskraftbescheinigung ausgestellt durch die zuständige Behörde oder der Nachweis der Baureife des Projekts sowie eine Bestätigung der Baubewilligungsfreiheit durch die zuständige Behörde ist diesem Gesuch beizulegen.</v>
      </c>
      <c r="B47" s="811"/>
      <c r="C47" s="811"/>
      <c r="D47" s="811"/>
      <c r="E47" s="811"/>
      <c r="F47" s="811"/>
      <c r="G47" s="811"/>
      <c r="H47" s="811"/>
      <c r="I47" s="811"/>
    </row>
    <row r="48" spans="1:9" ht="18" customHeight="1" x14ac:dyDescent="0.2">
      <c r="A48" s="563"/>
      <c r="B48" s="564"/>
      <c r="C48" s="564"/>
      <c r="D48" s="554"/>
      <c r="E48" s="551"/>
      <c r="F48" s="551"/>
      <c r="G48" s="568"/>
    </row>
    <row r="49" spans="1:10" ht="18" customHeight="1" x14ac:dyDescent="0.25">
      <c r="A49" s="588" t="str">
        <f ca="1">OFFSET(Sprachen!A64,0,'START, DÉBUT, INIZIO'!$D$4-1,1,1)</f>
        <v>3. Termine</v>
      </c>
      <c r="B49" s="564"/>
      <c r="C49" s="564"/>
      <c r="D49" s="554"/>
      <c r="E49" s="551"/>
      <c r="F49" s="551"/>
      <c r="G49" s="568"/>
    </row>
    <row r="50" spans="1:10" ht="7.5" customHeight="1" x14ac:dyDescent="0.2">
      <c r="A50" s="563"/>
      <c r="B50" s="564"/>
      <c r="C50" s="564"/>
      <c r="D50" s="554"/>
      <c r="E50" s="551"/>
      <c r="F50" s="551"/>
      <c r="G50" s="568"/>
    </row>
    <row r="51" spans="1:10" ht="18" customHeight="1" x14ac:dyDescent="0.2">
      <c r="A51" s="811" t="str">
        <f ca="1">OFFSET(Sprachen!A65,0,'START, DÉBUT, INIZIO'!$D$4-1,1,1)</f>
        <v>Die angegebenen Daten (Baubeginn und Inbetriebnahme) sind für die Realisierung des Projekts bindend.</v>
      </c>
      <c r="B51" s="811"/>
      <c r="C51" s="811"/>
      <c r="D51" s="811"/>
      <c r="E51" s="811"/>
      <c r="F51" s="811"/>
      <c r="G51" s="811"/>
      <c r="H51" s="811"/>
      <c r="I51" s="811"/>
    </row>
    <row r="52" spans="1:10" ht="12" customHeight="1" x14ac:dyDescent="0.2">
      <c r="A52" s="563"/>
      <c r="B52" s="564"/>
      <c r="C52" s="564"/>
      <c r="D52" s="554"/>
      <c r="E52" s="551"/>
      <c r="F52" s="551"/>
      <c r="G52" s="568"/>
    </row>
    <row r="53" spans="1:10" ht="18" customHeight="1" x14ac:dyDescent="0.2">
      <c r="A53" s="563"/>
      <c r="B53" s="564"/>
      <c r="C53" s="840" t="str">
        <f ca="1">OFFSET(Sprachen!A67,0,'START, DÉBUT, INIZIO'!$D$4-1,1,1)</f>
        <v>Geplanter Baubeginn</v>
      </c>
      <c r="D53" s="840"/>
      <c r="E53" s="592" t="str">
        <f ca="1">OFFSET(Sprachen!A70,0,'START, DÉBUT, INIZIO'!$D$4-1,1,1)</f>
        <v>Tag/Monat</v>
      </c>
      <c r="F53" s="592" t="str">
        <f ca="1">OFFSET(Sprachen!A71,0,'START, DÉBUT, INIZIO'!$D$4-1,1,1)</f>
        <v xml:space="preserve">Jahr </v>
      </c>
      <c r="G53" s="568"/>
    </row>
    <row r="54" spans="1:10" ht="18" customHeight="1" thickBot="1" x14ac:dyDescent="0.25">
      <c r="A54" s="563"/>
      <c r="B54" s="563"/>
      <c r="C54" s="840"/>
      <c r="D54" s="840"/>
      <c r="E54" s="605"/>
      <c r="F54" s="598"/>
      <c r="G54" s="568"/>
    </row>
    <row r="55" spans="1:10" ht="18" customHeight="1" thickBot="1" x14ac:dyDescent="0.25">
      <c r="A55" s="563"/>
      <c r="B55" s="563"/>
      <c r="C55" s="551"/>
      <c r="D55" s="554" t="str">
        <f ca="1">OFFSET(Sprachen!A68,0,'START, DÉBUT, INIZIO'!$D$4-1,1,1)</f>
        <v>Geplante Inbetriebnahme</v>
      </c>
      <c r="E55" s="606"/>
      <c r="F55" s="600"/>
      <c r="H55" s="554" t="str">
        <f ca="1">OFFSET(Sprachen!A72,0,'START, DÉBUT, INIZIO'!$D$4-1,1,1)</f>
        <v>Anzahl Baujahre</v>
      </c>
      <c r="I55" s="571">
        <f>F55-F54</f>
        <v>0</v>
      </c>
      <c r="J55" s="563"/>
    </row>
    <row r="56" spans="1:10" ht="18" customHeight="1" x14ac:dyDescent="0.2">
      <c r="A56" s="563"/>
      <c r="B56" s="563"/>
      <c r="C56" s="551"/>
      <c r="D56" s="554" t="str">
        <f ca="1">OFFSET(Sprachen!A69,0,'START, DÉBUT, INIZIO'!$D$4-1,1,1)</f>
        <v>Ablauf der Konzession</v>
      </c>
      <c r="E56" s="607"/>
      <c r="F56" s="602"/>
      <c r="H56" s="554" t="str">
        <f ca="1">OFFSET(Sprachen!A73,0,'START, DÉBUT, INIZIO'!$D$4-1,1,1)</f>
        <v>Restlaufzeit Konzession</v>
      </c>
      <c r="I56" s="572">
        <f>F56-F55</f>
        <v>0</v>
      </c>
      <c r="J56" s="563"/>
    </row>
    <row r="57" spans="1:10" ht="18" customHeight="1" x14ac:dyDescent="0.2">
      <c r="A57" s="563"/>
      <c r="B57" s="563"/>
      <c r="C57" s="551"/>
      <c r="D57" s="554"/>
      <c r="G57" s="573"/>
      <c r="H57" s="551"/>
      <c r="I57" s="563"/>
      <c r="J57" s="563"/>
    </row>
    <row r="58" spans="1:10" ht="18" customHeight="1" x14ac:dyDescent="0.25">
      <c r="A58" s="588" t="str">
        <f ca="1">OFFSET(Sprachen!A74,0,'START, DÉBUT, INIZIO'!$D$4-1,1,1)</f>
        <v>4. Antrag auf früheren Baubeginn</v>
      </c>
      <c r="B58" s="563"/>
      <c r="C58" s="551"/>
      <c r="D58" s="554"/>
      <c r="G58" s="573"/>
      <c r="H58" s="551"/>
      <c r="I58" s="563"/>
      <c r="J58" s="563"/>
    </row>
    <row r="59" spans="1:10" ht="7.5" customHeight="1" x14ac:dyDescent="0.25">
      <c r="A59" s="588"/>
      <c r="B59" s="563"/>
      <c r="C59" s="551"/>
      <c r="D59" s="554"/>
      <c r="G59" s="573"/>
      <c r="H59" s="551"/>
      <c r="I59" s="563"/>
      <c r="J59" s="563"/>
    </row>
    <row r="60" spans="1:10" ht="80.25" customHeight="1" x14ac:dyDescent="0.2">
      <c r="A60" s="811" t="str">
        <f ca="1">OFFSET(Sprachen!A75,0,'START, DÉBUT, INIZIO'!$D$4-1,1,1)</f>
        <v xml:space="preserve">Wer beabsichtigt, einen Investitionsbeitrag in Anspruch zu nehmen, darf mit den Bauarbeiten erst beginnen, nachdem das BFE eine Zusicherung abgegeben hat (Art. 28 EnG).
Das BFE kann den früheren Baubeginn bewilligen, wenn es mit schwerwiegenden Nachteilen verbunden wäre, die Zusicherung dem Grundsatz nach abzuwarten. Diese Bewilligung gibt keinen Anspruch auf einen Investitionsbeitrag (Art. 32 EnFV). Der frühere Baubeginn kann auch zu einem späteren Zeitpunkt beantragt werden. </v>
      </c>
      <c r="B60" s="811"/>
      <c r="C60" s="811"/>
      <c r="D60" s="811"/>
      <c r="E60" s="811"/>
      <c r="F60" s="811"/>
      <c r="G60" s="811"/>
      <c r="H60" s="811"/>
      <c r="I60" s="811"/>
      <c r="J60" s="563"/>
    </row>
    <row r="61" spans="1:10" ht="15.75" customHeight="1" x14ac:dyDescent="0.2">
      <c r="A61" s="811" t="str">
        <f ca="1">OFFSET(Sprachen!A76,0,'START, DÉBUT, INIZIO'!$D$4-1,1,1)</f>
        <v xml:space="preserve">Die schwerwiegenden Nachteile sind zu begründen und zu belegen. </v>
      </c>
      <c r="B61" s="811"/>
      <c r="C61" s="811"/>
      <c r="D61" s="811"/>
      <c r="E61" s="811"/>
      <c r="F61" s="811"/>
      <c r="G61" s="811"/>
      <c r="H61" s="811"/>
      <c r="I61" s="811"/>
      <c r="J61" s="563"/>
    </row>
    <row r="62" spans="1:10" ht="12" customHeight="1" x14ac:dyDescent="0.2">
      <c r="A62" s="563"/>
      <c r="B62" s="563"/>
      <c r="C62" s="551"/>
      <c r="D62" s="554"/>
      <c r="G62" s="573"/>
      <c r="H62" s="551"/>
      <c r="I62" s="563"/>
      <c r="J62" s="563"/>
    </row>
    <row r="63" spans="1:10" ht="18" customHeight="1" x14ac:dyDescent="0.2">
      <c r="A63" s="563"/>
      <c r="B63" s="563"/>
      <c r="C63" s="551"/>
      <c r="D63" s="549" t="str">
        <f ca="1">OFFSET(Sprachen!A77,0,'START, DÉBUT, INIZIO'!$D$4-1,1,1)</f>
        <v>Antrag</v>
      </c>
      <c r="E63" s="832"/>
      <c r="F63" s="832"/>
      <c r="G63" s="832"/>
      <c r="H63" s="551"/>
      <c r="I63" s="563"/>
      <c r="J63" s="563"/>
    </row>
    <row r="64" spans="1:10" ht="13.5" customHeight="1" x14ac:dyDescent="0.2">
      <c r="A64" s="563"/>
      <c r="B64" s="563"/>
      <c r="C64" s="551"/>
      <c r="D64" s="554"/>
      <c r="G64" s="573"/>
      <c r="H64" s="551"/>
      <c r="I64" s="563"/>
      <c r="J64" s="563"/>
    </row>
    <row r="65" spans="1:10" ht="18" customHeight="1" x14ac:dyDescent="0.2">
      <c r="A65" s="563"/>
      <c r="B65" s="563"/>
      <c r="C65" s="551"/>
      <c r="D65" s="554" t="str">
        <f ca="1">OFFSET(Sprachen!A78,0,'START, DÉBUT, INIZIO'!$D$4-1,1,1)</f>
        <v>Begründung</v>
      </c>
      <c r="E65" s="832" t="str">
        <f ca="1">OFFSET(Sprachen!A79,0,'START, DÉBUT, INIZIO'!$D$4-1,1,1)</f>
        <v>Text (oder Beilage)</v>
      </c>
      <c r="F65" s="832"/>
      <c r="G65" s="832"/>
      <c r="H65" s="832"/>
      <c r="I65" s="832"/>
      <c r="J65" s="563"/>
    </row>
    <row r="66" spans="1:10" ht="18" customHeight="1" x14ac:dyDescent="0.2">
      <c r="A66" s="563"/>
      <c r="B66" s="563"/>
      <c r="C66" s="551"/>
      <c r="D66" s="554"/>
      <c r="E66" s="832"/>
      <c r="F66" s="832"/>
      <c r="G66" s="832"/>
      <c r="H66" s="832"/>
      <c r="I66" s="832"/>
      <c r="J66" s="563"/>
    </row>
    <row r="67" spans="1:10" ht="18" customHeight="1" x14ac:dyDescent="0.2">
      <c r="A67" s="563"/>
      <c r="B67" s="563"/>
      <c r="C67" s="551"/>
      <c r="D67" s="554"/>
      <c r="E67" s="832"/>
      <c r="F67" s="832"/>
      <c r="G67" s="832"/>
      <c r="H67" s="832"/>
      <c r="I67" s="832"/>
      <c r="J67" s="563"/>
    </row>
    <row r="68" spans="1:10" ht="18" customHeight="1" x14ac:dyDescent="0.2">
      <c r="A68" s="563"/>
      <c r="B68" s="563"/>
      <c r="C68" s="551"/>
      <c r="D68" s="554"/>
      <c r="G68" s="573"/>
      <c r="H68" s="551"/>
      <c r="I68" s="563"/>
      <c r="J68" s="563"/>
    </row>
    <row r="69" spans="1:10" ht="18" customHeight="1" x14ac:dyDescent="0.25">
      <c r="A69" s="588" t="str">
        <f ca="1">OFFSET(Sprachen!A80,0,'START, DÉBUT, INIZIO'!$D$4-1,1,1)</f>
        <v>5. Investitionskosten (exkl. MwSt.)</v>
      </c>
      <c r="B69" s="563"/>
      <c r="C69" s="551"/>
      <c r="D69" s="549"/>
      <c r="F69" s="574" t="str">
        <f ca="1">OFFSET(Sprachen!A81,0,'START, DÉBUT, INIZIO'!$D$4-1,1,1)</f>
        <v>Bitte Blatt 3 ausfüllen</v>
      </c>
      <c r="G69" s="573"/>
      <c r="H69" s="551"/>
      <c r="I69" s="563"/>
      <c r="J69" s="563"/>
    </row>
    <row r="70" spans="1:10" ht="12" customHeight="1" x14ac:dyDescent="0.2"/>
    <row r="71" spans="1:10" ht="18" customHeight="1" x14ac:dyDescent="0.2">
      <c r="C71" s="842" t="str">
        <f ca="1">OFFSET(Sprachen!A83,0,'START, DÉBUT, INIZIO'!$D$4-1,1,1)</f>
        <v>Investitionskosten total</v>
      </c>
      <c r="D71" s="842"/>
      <c r="E71" s="614" t="s">
        <v>8</v>
      </c>
    </row>
    <row r="72" spans="1:10" ht="18" customHeight="1" thickBot="1" x14ac:dyDescent="0.25">
      <c r="C72" s="842"/>
      <c r="D72" s="842"/>
      <c r="E72" s="615">
        <f>'3 Investitionskosten'!M13</f>
        <v>0</v>
      </c>
      <c r="F72" s="569" t="str">
        <f ca="1">OFFSET(Sprachen!A86,0,'START, DÉBUT, INIZIO'!$D$4-1,1,1)</f>
        <v>Werte aus Blatt 3</v>
      </c>
      <c r="G72" s="575"/>
    </row>
    <row r="73" spans="1:10" ht="18" customHeight="1" thickBot="1" x14ac:dyDescent="0.25">
      <c r="D73" s="554" t="str">
        <f ca="1">OFFSET(Sprachen!A84,0,'START, DÉBUT, INIZIO'!$D$4-1,1,1)</f>
        <v>davon anrechenbar</v>
      </c>
      <c r="E73" s="616">
        <f>'3 Investitionskosten'!N13</f>
        <v>0</v>
      </c>
    </row>
    <row r="74" spans="1:10" ht="18" customHeight="1" x14ac:dyDescent="0.2">
      <c r="D74" s="554" t="str">
        <f ca="1">OFFSET(Sprachen!A85,0,'START, DÉBUT, INIZIO'!$D$4-1,1,1)</f>
        <v>davon nicht anrechenbar</v>
      </c>
      <c r="E74" s="617">
        <f>'3 Investitionskosten'!O13</f>
        <v>0</v>
      </c>
    </row>
    <row r="75" spans="1:10" ht="15.75" customHeight="1" x14ac:dyDescent="0.2">
      <c r="D75" s="453"/>
    </row>
    <row r="76" spans="1:10" ht="18" customHeight="1" x14ac:dyDescent="0.25">
      <c r="A76" s="588" t="str">
        <f ca="1">OFFSET(Sprachen!A87,0,'START, DÉBUT, INIZIO'!$D$4-1,1,1)</f>
        <v>6. Anderweitige Finanzhilfen</v>
      </c>
    </row>
    <row r="77" spans="1:10" ht="8.25" customHeight="1" x14ac:dyDescent="0.25">
      <c r="A77" s="490"/>
    </row>
    <row r="78" spans="1:10" ht="33" customHeight="1" x14ac:dyDescent="0.2">
      <c r="A78" s="811" t="str">
        <f ca="1">OFFSET(Sprachen!A88,0,'START, DÉBUT, INIZIO'!$D$4-1,1,1)</f>
        <v>Allfällige anderweitige Finanzhilfen, die für das Projekt beantragt oder bereits gesprochen wurden, sind hier aufzuführen. Die Gesuche bzw. gegebenenfalls die die Finanzhilfe gewährenden Dokumente sind dem Gesuch als Beilage anzufügen.</v>
      </c>
      <c r="B78" s="811"/>
      <c r="C78" s="811"/>
      <c r="D78" s="811"/>
      <c r="E78" s="811"/>
      <c r="F78" s="811"/>
      <c r="G78" s="811"/>
      <c r="H78" s="811"/>
      <c r="I78" s="811"/>
    </row>
    <row r="79" spans="1:10" ht="8.25" customHeight="1" x14ac:dyDescent="0.2">
      <c r="A79" s="656"/>
      <c r="B79" s="656"/>
      <c r="C79" s="656"/>
      <c r="D79" s="656"/>
      <c r="E79" s="656"/>
      <c r="F79" s="656"/>
      <c r="G79" s="656"/>
      <c r="H79" s="656"/>
      <c r="I79" s="656"/>
    </row>
    <row r="80" spans="1:10" ht="25.5" customHeight="1" x14ac:dyDescent="0.2">
      <c r="A80" s="569" t="str">
        <f ca="1">OFFSET(Sprachen!A89,0,'START, DÉBUT, INIZIO'!$D$4-1,1,1)</f>
        <v>Anderweitig vergütete Kosten sind in Blatt 3 als nicht anrechenbare Kosten aufzuführen.</v>
      </c>
      <c r="B80" s="565"/>
      <c r="C80" s="565"/>
      <c r="D80" s="565"/>
      <c r="E80" s="565"/>
      <c r="F80" s="565"/>
      <c r="G80" s="565"/>
      <c r="H80" s="565"/>
      <c r="I80" s="565"/>
    </row>
    <row r="81" spans="1:9" ht="18" customHeight="1" x14ac:dyDescent="0.2">
      <c r="D81" s="549" t="str">
        <f ca="1">OFFSET(Sprachen!A90,0,'START, DÉBUT, INIZIO'!$D$4-1,1,1)</f>
        <v>Finanzhilfen</v>
      </c>
      <c r="E81" s="592" t="str">
        <f ca="1">OFFSET(Sprachen!A91,0,'START, DÉBUT, INIZIO'!$D$4-1,1,1)</f>
        <v>Art der Finanzhilfe</v>
      </c>
      <c r="F81" s="592"/>
      <c r="G81" s="592" t="str">
        <f ca="1">OFFSET(Sprachen!A92,0,'START, DÉBUT, INIZIO'!$D$4-1,1,1)</f>
        <v>Zuständige Behörde</v>
      </c>
      <c r="H81" s="592" t="str">
        <f ca="1">OFFSET(Sprachen!A93,0,'START, DÉBUT, INIZIO'!$D$4-1,1,1)</f>
        <v>Betrag in CHF</v>
      </c>
      <c r="I81" s="592" t="str">
        <f ca="1">OFFSET(Sprachen!A94,0,'START, DÉBUT, INIZIO'!$D$4-1,1,1)</f>
        <v>Stand</v>
      </c>
    </row>
    <row r="82" spans="1:9" ht="18" customHeight="1" thickBot="1" x14ac:dyDescent="0.25">
      <c r="D82" s="566">
        <v>1</v>
      </c>
      <c r="E82" s="827"/>
      <c r="F82" s="830"/>
      <c r="G82" s="618"/>
      <c r="H82" s="666"/>
      <c r="I82" s="618"/>
    </row>
    <row r="83" spans="1:9" ht="18" customHeight="1" thickBot="1" x14ac:dyDescent="0.25">
      <c r="D83" s="566">
        <v>2</v>
      </c>
      <c r="E83" s="819"/>
      <c r="F83" s="831"/>
      <c r="G83" s="619"/>
      <c r="H83" s="666"/>
      <c r="I83" s="618"/>
    </row>
    <row r="84" spans="1:9" ht="18" customHeight="1" x14ac:dyDescent="0.2">
      <c r="D84" s="567"/>
      <c r="E84" s="858" t="str">
        <f ca="1">OFFSET(Sprachen!A56,0,'START, DÉBUT, INIZIO'!$D$4-1,1,1)</f>
        <v>weitere Zeilen nach Bedarf einfügen</v>
      </c>
      <c r="F84" s="858"/>
    </row>
    <row r="86" spans="1:9" ht="18" customHeight="1" x14ac:dyDescent="0.25">
      <c r="A86" s="588" t="str">
        <f ca="1">OFFSET(Sprachen!A95,0,'START, DÉBUT, INIZIO'!$D$4-1,1,1)</f>
        <v>7. Technische Angaben</v>
      </c>
      <c r="E86" s="576" t="str">
        <f ca="1">OFFSET(Sprachen!A96,0,'START, DÉBUT, INIZIO'!$D$4-1,1,1)</f>
        <v>Bitte Blatt 2 ausfüllen</v>
      </c>
    </row>
    <row r="87" spans="1:9" ht="7.5" customHeight="1" x14ac:dyDescent="0.25">
      <c r="A87" s="588"/>
      <c r="E87" s="576"/>
    </row>
    <row r="88" spans="1:9" ht="31.5" customHeight="1" x14ac:dyDescent="0.2">
      <c r="A88" s="811" t="str">
        <f ca="1">OFFSET(Sprachen!A97,0,'START, DÉBUT, INIZIO'!$D$4-1,1,1)</f>
        <v>Sämtliche Angaben sind im Projektbeschrieb bzw. in der technischen Beschreibung der Anlage zu begründen und zu belegen. Begründung und Belege sind diesem Gesuch beizulegen.</v>
      </c>
      <c r="B88" s="811"/>
      <c r="C88" s="811"/>
      <c r="D88" s="811"/>
      <c r="E88" s="811"/>
      <c r="F88" s="811"/>
      <c r="G88" s="811"/>
      <c r="H88" s="811"/>
      <c r="I88" s="811"/>
    </row>
    <row r="90" spans="1:9" ht="18" customHeight="1" x14ac:dyDescent="0.25">
      <c r="A90" s="588" t="str">
        <f ca="1">OFFSET(Sprachen!A98,0,'START, DÉBUT, INIZIO'!$D$4-1,1,1)</f>
        <v>8. Ausnahmen Leistungsuntergrenzen</v>
      </c>
    </row>
    <row r="91" spans="1:9" ht="12" customHeight="1" x14ac:dyDescent="0.2">
      <c r="A91" s="561"/>
    </row>
    <row r="92" spans="1:9" ht="32.25" customHeight="1" x14ac:dyDescent="0.2">
      <c r="A92" s="812" t="str">
        <f ca="1">OFFSET(Sprachen!A100,0,'START, DÉBUT, INIZIO'!$D$4-1,1,1)</f>
        <v>Ausnahme von der Leistungsuntergrenze von 1 MWbr für Neuanlagen bzw. 300 kWbr für erhebliche Erweiterungen und Erneuerungen</v>
      </c>
      <c r="B92" s="812"/>
      <c r="C92" s="812"/>
      <c r="D92" s="812"/>
      <c r="E92" s="812"/>
      <c r="F92" s="812"/>
      <c r="G92" s="812"/>
      <c r="H92" s="812"/>
      <c r="I92" s="812"/>
    </row>
    <row r="93" spans="1:9" ht="18" customHeight="1" x14ac:dyDescent="0.2">
      <c r="D93" s="549" t="str">
        <f ca="1">OFFSET(Sprachen!A99,0,'START, DÉBUT, INIZIO'!$D$4-1,1,1)</f>
        <v>Ausnahme</v>
      </c>
      <c r="E93" s="832"/>
      <c r="F93" s="832"/>
      <c r="G93" s="832"/>
    </row>
    <row r="94" spans="1:9" ht="18" customHeight="1" x14ac:dyDescent="0.2">
      <c r="E94" s="832"/>
      <c r="F94" s="832"/>
      <c r="G94" s="832"/>
    </row>
    <row r="95" spans="1:9" ht="18" customHeight="1" x14ac:dyDescent="0.2">
      <c r="E95" s="832"/>
      <c r="F95" s="832"/>
      <c r="G95" s="832"/>
    </row>
    <row r="96" spans="1:9" ht="7.5" customHeight="1" x14ac:dyDescent="0.2">
      <c r="E96" s="697"/>
      <c r="F96" s="697"/>
      <c r="G96" s="697"/>
    </row>
    <row r="97" spans="1:9" ht="32.25" customHeight="1" x14ac:dyDescent="0.2">
      <c r="A97" s="811" t="str">
        <f ca="1">OFFSET(Sprachen!A101,0,'START, DÉBUT, INIZIO'!$D$4-1,1,1)</f>
        <v>Dass eine Ausnahme von der Untergrenze gemäss Art. 26 EnG oder Art. 9 EnFV vorliegt, ist zu begründen und zu belegen. Begründung und Belege sind diesem Gesuch beizulegen.</v>
      </c>
      <c r="B97" s="811"/>
      <c r="C97" s="811"/>
      <c r="D97" s="811"/>
      <c r="E97" s="811"/>
      <c r="F97" s="811"/>
      <c r="G97" s="811"/>
      <c r="H97" s="811"/>
      <c r="I97" s="811"/>
    </row>
    <row r="99" spans="1:9" ht="18" customHeight="1" x14ac:dyDescent="0.25">
      <c r="A99" s="588" t="str">
        <f ca="1">OFFSET(Sprachen!A102,0,'START, DÉBUT, INIZIO'!$D$4-1,1,1)</f>
        <v>9. Antrag gleitende Marktprämie</v>
      </c>
      <c r="I99" s="577"/>
    </row>
    <row r="100" spans="1:9" ht="12" customHeight="1" x14ac:dyDescent="0.2"/>
    <row r="101" spans="1:9" ht="18" customHeight="1" x14ac:dyDescent="0.2">
      <c r="B101" s="813" t="str">
        <f ca="1">OFFSET(Sprachen!A103,0,'START, DÉBUT, INIZIO'!$D$4-1,1,1)</f>
        <v>Voraussichtlicher Vergütungssatz</v>
      </c>
      <c r="C101" s="813"/>
      <c r="D101" s="813"/>
      <c r="E101" s="592" t="s">
        <v>10</v>
      </c>
    </row>
    <row r="102" spans="1:9" ht="18" customHeight="1" x14ac:dyDescent="0.2">
      <c r="B102" s="813"/>
      <c r="C102" s="813"/>
      <c r="D102" s="813"/>
      <c r="E102" s="608" t="e">
        <f ca="1">IF(DropDown!$F$9=1,'4.1'!D90,IF(DropDown!$F$9=2,'4.2'!D232,IF(DropDown!$F$9=3,'4.3'!D228,IF(DropDown!$F$9=4,'4.4'!D90,IF(DropDown!$F$9=5,'4.5'!D90,'4.6'!D80)))))</f>
        <v>#N/A</v>
      </c>
      <c r="F102" s="569" t="e">
        <f ca="1">CONCATENATE(OFFSET(Sprachen!A104,0,'START, DÉBUT, INIZIO'!$D$4-1,1,1)," 4.",DropDown!F9)</f>
        <v>#N/A</v>
      </c>
    </row>
    <row r="103" spans="1:9" ht="18" customHeight="1" x14ac:dyDescent="0.2">
      <c r="B103" s="813"/>
      <c r="C103" s="813"/>
      <c r="D103" s="813"/>
      <c r="E103" s="668" t="e" cm="1">
        <f t="array" aca="1" ref="E103" ca="1">_xlfn.IFS(E102=300,OFFSET(Sprachen!A626,0,'START, DÉBUT, INIZIO'!$D$4-1,1,1),E102=100,OFFSET(Sprachen!A626,0,'START, DÉBUT, INIZIO'!$D$4-1,1,1),TRUE,"")</f>
        <v>#N/A</v>
      </c>
      <c r="F103" s="562"/>
      <c r="I103" s="3"/>
    </row>
    <row r="104" spans="1:9" ht="13.5" customHeight="1" x14ac:dyDescent="0.2">
      <c r="E104" s="668"/>
    </row>
    <row r="105" spans="1:9" ht="18" customHeight="1" x14ac:dyDescent="0.25">
      <c r="A105" s="588" t="str">
        <f ca="1">OFFSET(Sprachen!A105,0,'START, DÉBUT, INIZIO'!$D$4-1,1,1)</f>
        <v>10. Antrag Investitionsbeitrag</v>
      </c>
    </row>
    <row r="106" spans="1:9" ht="12" customHeight="1" x14ac:dyDescent="0.2"/>
    <row r="107" spans="1:9" ht="18" customHeight="1" x14ac:dyDescent="0.2">
      <c r="E107" s="592" t="str">
        <f ca="1">OFFSET(Sprachen!A108,0,'START, DÉBUT, INIZIO'!$D$4-1,1,1)</f>
        <v>Prozent</v>
      </c>
    </row>
    <row r="108" spans="1:9" ht="18" customHeight="1" x14ac:dyDescent="0.2">
      <c r="D108" s="554" t="str">
        <f ca="1">OFFSET(Sprachen!A111,0,'START, DÉBUT, INIZIO'!$D$4-1,1,1)</f>
        <v>Beitragssatz</v>
      </c>
      <c r="E108" s="608" t="e">
        <f>'1b Beitragssatz IB'!E56</f>
        <v>#N/A</v>
      </c>
      <c r="F108" s="569" t="str">
        <f ca="1">OFFSET(Sprachen!A109,0,'START, DÉBUT, INIZIO'!$D$4-1,1,1)</f>
        <v>Wert aus Blatt 1b</v>
      </c>
    </row>
    <row r="109" spans="1:9" ht="13.5" customHeight="1" x14ac:dyDescent="0.2"/>
    <row r="110" spans="1:9" ht="18" customHeight="1" x14ac:dyDescent="0.2">
      <c r="C110" s="626"/>
      <c r="D110" s="626"/>
      <c r="E110" s="592" t="str">
        <f ca="1">OFFSET(Sprachen!A108,0,'START, DÉBUT, INIZIO'!$D$4-1,1,1)</f>
        <v>Prozent</v>
      </c>
    </row>
    <row r="111" spans="1:9" ht="18" customHeight="1" x14ac:dyDescent="0.2">
      <c r="B111" s="810" t="str">
        <f ca="1">OFFSET(Sprachen!A106,0,'START, DÉBUT, INIZIO'!$D$4-1,1,1)</f>
        <v>Reduktion aufgrund kurzer Konzessionsrestdauer</v>
      </c>
      <c r="C111" s="810"/>
      <c r="D111" s="810"/>
      <c r="E111" s="609">
        <f ca="1">'3 Investitionskosten'!O6</f>
        <v>100</v>
      </c>
      <c r="F111" s="569" t="str">
        <f ca="1">OFFSET(Sprachen!A110,0,'START, DÉBUT, INIZIO'!$D$4-1,1,1)</f>
        <v>Wert aus Blatt 3</v>
      </c>
    </row>
    <row r="112" spans="1:9" ht="7.5" customHeight="1" x14ac:dyDescent="0.2">
      <c r="B112" s="810"/>
      <c r="C112" s="810"/>
      <c r="D112" s="810"/>
      <c r="E112" s="698"/>
      <c r="F112" s="569"/>
    </row>
    <row r="113" spans="1:9" ht="65.25" customHeight="1" x14ac:dyDescent="0.2">
      <c r="B113" s="810"/>
      <c r="C113" s="810"/>
      <c r="D113" s="810"/>
      <c r="E113" s="809" t="str">
        <f ca="1">OFFSET(Sprachen!A107,0,'START, DÉBUT, INIZIO'!$D$4-1,1,1)</f>
        <v>Die Reduktion des Investitionsbeitrags (Art. 61 Abs. 4 EnFV) kommt zum Tragen, wenn die Konzessionsrestdauer ab Inbetriebnahme der Anlage kleiner ist als die mittlere investitionsgewichtete Nutzungsdauer. Wenn eine Restwertvereinbarung vorliegt, die einen allfälligen Investitionsbeitrag angemessen berücksichtigt, so wird auf die Reduktion verzichtet. Die Restwertvereinbarung ist dem Gesuch beizulegen.</v>
      </c>
      <c r="F113" s="809"/>
      <c r="G113" s="809"/>
      <c r="H113" s="809"/>
      <c r="I113" s="809"/>
    </row>
    <row r="114" spans="1:9" ht="18" customHeight="1" x14ac:dyDescent="0.2">
      <c r="B114" s="813" t="str">
        <f ca="1">OFFSET(Sprachen!A113,0,'START, DÉBUT, INIZIO'!$D$4-1,1,1)</f>
        <v>Voraussichtlicher Investitionsbeitrag</v>
      </c>
      <c r="C114" s="813"/>
      <c r="D114" s="813"/>
      <c r="E114" s="604" t="s">
        <v>8</v>
      </c>
    </row>
    <row r="115" spans="1:9" ht="18" customHeight="1" x14ac:dyDescent="0.2">
      <c r="B115" s="813"/>
      <c r="C115" s="813"/>
      <c r="D115" s="813"/>
      <c r="E115" s="610" t="e">
        <f ca="1">E73*(E108/100)*((100-E111)/100)</f>
        <v>#N/A</v>
      </c>
      <c r="F115" s="569" t="str">
        <f ca="1">OFFSET(Sprachen!A116,0,'START, DÉBUT, INIZIO'!$D$4-1,1,1)</f>
        <v>Provisorischer berechneter Wert</v>
      </c>
      <c r="G115" s="575"/>
    </row>
    <row r="116" spans="1:9" ht="9.75" customHeight="1" x14ac:dyDescent="0.2">
      <c r="B116" s="813"/>
      <c r="C116" s="813"/>
      <c r="D116" s="813"/>
    </row>
    <row r="117" spans="1:9" ht="32.25" customHeight="1" x14ac:dyDescent="0.2">
      <c r="B117" s="687"/>
      <c r="C117" s="626"/>
      <c r="D117" s="626"/>
      <c r="E117" s="809" t="str">
        <f ca="1">OFFSET(Sprachen!A115,0,'START, DÉBUT, INIZIO'!$D$4-1,1,1)</f>
        <v>Wenn bereits ein Projektierungsbeitrag in Anspruch genommen wurde, wird dieser später vom Investitionsbeitrag in Abzug gebracht.</v>
      </c>
      <c r="F117" s="809"/>
      <c r="G117" s="809"/>
      <c r="H117" s="809"/>
      <c r="I117" s="809"/>
    </row>
    <row r="118" spans="1:9" ht="30" customHeight="1" x14ac:dyDescent="0.2"/>
    <row r="119" spans="1:9" ht="18" customHeight="1" x14ac:dyDescent="0.25">
      <c r="A119" s="588" t="str">
        <f ca="1">OFFSET(Sprachen!A138,0,'START, DÉBUT, INIZIO'!$D$4-1,1,1)</f>
        <v>Unterschrift</v>
      </c>
    </row>
    <row r="120" spans="1:9" ht="13.5" customHeight="1" x14ac:dyDescent="0.25">
      <c r="A120" s="490"/>
    </row>
    <row r="121" spans="1:9" ht="22.5" customHeight="1" thickBot="1" x14ac:dyDescent="0.25">
      <c r="B121" s="726" t="str">
        <f>IF(C121=FALSE,"!","")</f>
        <v>!</v>
      </c>
      <c r="C121" s="579" t="b">
        <v>0</v>
      </c>
      <c r="D121" s="812" t="str">
        <f ca="1">OFFSET(Sprachen!A139,0,'START, DÉBUT, INIZIO'!$D$4-1,1,1)</f>
        <v>Mit der Unterschrift erklärt der Gesuchsteller/die Gesuchstellerin (bzw. die zur rechtsgültigen Unterschrift berechtigte Person oder Personen), dass die in den Formularen und den Beilagen gemachten Angabe der Wahrheit entsprechen.</v>
      </c>
      <c r="E121" s="812"/>
      <c r="F121" s="812"/>
      <c r="G121" s="812"/>
      <c r="H121" s="812"/>
      <c r="I121" s="812"/>
    </row>
    <row r="122" spans="1:9" ht="21.75" customHeight="1" x14ac:dyDescent="0.2">
      <c r="A122" s="688"/>
      <c r="B122" s="688"/>
      <c r="C122" s="688"/>
      <c r="D122" s="812"/>
      <c r="E122" s="812"/>
      <c r="F122" s="812"/>
      <c r="G122" s="812"/>
      <c r="H122" s="812"/>
      <c r="I122" s="812"/>
    </row>
    <row r="123" spans="1:9" ht="22.5" customHeight="1" thickBot="1" x14ac:dyDescent="0.25">
      <c r="A123" s="688"/>
      <c r="B123" s="726" t="str">
        <f>IF(C123=FALSE,"!","")</f>
        <v>!</v>
      </c>
      <c r="C123" s="579" t="b">
        <v>0</v>
      </c>
      <c r="D123" s="812" t="str">
        <f ca="1">OFFSET(Sprachen!A140,0,'START, DÉBUT, INIZIO'!$D$4-1,1,1)</f>
        <v>Der Gesuchsteller/die Gesuchstellerin nimmt zur Kenntnis, dass die aufgrund der Gesuchsangaben berechteten Werte in Ziffer 9 und 10 provisorisch sind. Das BFE teilt die voraussichtliche Höhe des Vergützungssatzes und des Investitionsbeitrags nach erfolgter Gesuchsprüfung mit (Mitteilung des BFE für die Ausübung des Wahlrechts, Art. 30bsepties EnFV).</v>
      </c>
      <c r="E123" s="812"/>
      <c r="F123" s="812"/>
      <c r="G123" s="812"/>
      <c r="H123" s="812"/>
      <c r="I123" s="812"/>
    </row>
    <row r="124" spans="1:9" ht="27.75" customHeight="1" x14ac:dyDescent="0.2">
      <c r="A124" s="688"/>
      <c r="B124" s="688"/>
      <c r="D124" s="812"/>
      <c r="E124" s="812"/>
      <c r="F124" s="812"/>
      <c r="G124" s="812"/>
      <c r="H124" s="812"/>
      <c r="I124" s="812"/>
    </row>
    <row r="125" spans="1:9" ht="12" customHeight="1" x14ac:dyDescent="0.2">
      <c r="A125" s="688"/>
      <c r="B125" s="688"/>
      <c r="D125" s="756"/>
      <c r="E125" s="756"/>
      <c r="F125" s="756"/>
      <c r="G125" s="756"/>
      <c r="H125" s="756"/>
      <c r="I125" s="756"/>
    </row>
    <row r="126" spans="1:9" ht="16.5" customHeight="1" x14ac:dyDescent="0.2">
      <c r="A126" s="688"/>
      <c r="B126" s="688"/>
      <c r="C126" s="758" t="str">
        <f ca="1">OFFSET(Sprachen!A763,0,'START, DÉBUT, INIZIO'!$D$4-1,1,1)</f>
        <v>Eröffnung auf elektronischem Weg</v>
      </c>
      <c r="D126" s="656"/>
      <c r="E126" s="656"/>
      <c r="F126" s="656"/>
      <c r="G126" s="656"/>
      <c r="H126" s="656"/>
      <c r="I126" s="656"/>
    </row>
    <row r="127" spans="1:9" ht="32.25" customHeight="1" x14ac:dyDescent="0.2">
      <c r="A127" s="688"/>
      <c r="B127" s="688"/>
      <c r="C127" s="856" t="str">
        <f ca="1">OFFSET(Sprachen!A141,0,'START, DÉBUT, INIZIO'!$D$4-1,1,1)</f>
        <v>Eröffnung aller Verfügungen im Zusammenhang mit diesem Verfahren auf elektronischem Weg (an die E-Mail-Adresse des Gesuchstellers / der Gesuchstellerin gemäss Ziffer 1 dieses Formulars):</v>
      </c>
      <c r="D127" s="856"/>
      <c r="E127" s="856"/>
      <c r="F127" s="856"/>
      <c r="G127" s="856"/>
      <c r="H127" s="856"/>
      <c r="I127" s="856"/>
    </row>
    <row r="128" spans="1:9" ht="7.5" customHeight="1" x14ac:dyDescent="0.2">
      <c r="A128" s="688"/>
      <c r="B128" s="688"/>
      <c r="C128" s="757"/>
      <c r="D128" s="757"/>
      <c r="E128" s="757"/>
      <c r="F128" s="757"/>
      <c r="G128" s="757"/>
      <c r="H128" s="757"/>
      <c r="I128" s="757"/>
    </row>
    <row r="129" spans="1:9" ht="18" customHeight="1" x14ac:dyDescent="0.2">
      <c r="A129" s="688"/>
      <c r="B129" s="688"/>
      <c r="C129" s="850"/>
      <c r="D129" s="850"/>
      <c r="E129" s="850"/>
      <c r="F129" s="757"/>
      <c r="G129" s="757"/>
      <c r="H129" s="757"/>
      <c r="I129" s="757"/>
    </row>
    <row r="130" spans="1:9" ht="12" customHeight="1" x14ac:dyDescent="0.2">
      <c r="A130" s="688"/>
      <c r="B130" s="688"/>
      <c r="C130" s="757"/>
      <c r="D130" s="757"/>
      <c r="E130" s="757"/>
      <c r="F130" s="757"/>
      <c r="G130" s="757"/>
      <c r="H130" s="757"/>
      <c r="I130" s="757"/>
    </row>
    <row r="131" spans="1:9" ht="41.25" customHeight="1" x14ac:dyDescent="0.2">
      <c r="A131" s="688"/>
      <c r="B131" s="688"/>
      <c r="C131" s="857" t="str">
        <f ca="1">OFFSET(Sprachen!A142,0,'START, DÉBUT, INIZIO'!$D$4-1,1,1)</f>
        <v>Gemäss Artikel 34 Absatz 1bis des Bundesgesetzes über das Verwaltungsverfahren (VwVG, SR 172.021) in Verbindung mit Artikel 8 der Verordnung über die elektronische Übermittlung im Rahmen eines Verwaltungsverfahrens (VeÜ-VwV, SR 172.021.2) kann die Behörde einer Partei eine Verfügung auf elektronischem Weg eröffnen, sofern die Partei dieser Art der Mitteilung im Rahmen des konkreten Verfahrens zugestimmt hat. Die Zustimmung kann jederzeit widerrufen werden.</v>
      </c>
      <c r="D131" s="857"/>
      <c r="E131" s="857"/>
      <c r="F131" s="857"/>
      <c r="G131" s="857"/>
      <c r="H131" s="857"/>
      <c r="I131" s="857"/>
    </row>
    <row r="132" spans="1:9" ht="12" customHeight="1" x14ac:dyDescent="0.2">
      <c r="A132" s="688"/>
      <c r="B132" s="688"/>
      <c r="C132" s="756"/>
      <c r="D132" s="756"/>
      <c r="E132" s="756"/>
      <c r="F132" s="756"/>
      <c r="G132" s="756"/>
      <c r="H132" s="756"/>
      <c r="I132" s="756"/>
    </row>
    <row r="133" spans="1:9" ht="13.5" customHeight="1" x14ac:dyDescent="0.2">
      <c r="A133" s="578"/>
      <c r="B133" s="578"/>
      <c r="C133" s="578"/>
      <c r="D133" s="689"/>
      <c r="E133" s="689"/>
      <c r="F133" s="689"/>
      <c r="G133" s="689"/>
      <c r="H133" s="689"/>
      <c r="I133" s="689"/>
    </row>
    <row r="134" spans="1:9" ht="18" customHeight="1" x14ac:dyDescent="0.2">
      <c r="C134" s="723" t="str">
        <f ca="1">OFFSET(Sprachen!A143,0,'START, DÉBUT, INIZIO'!$D$4-1,1,1)</f>
        <v>Ort</v>
      </c>
      <c r="D134" s="724"/>
      <c r="E134" s="723" t="str">
        <f ca="1">OFFSET(Sprachen!A144,0,'START, DÉBUT, INIZIO'!$D$4-1,1,1)</f>
        <v>Datum</v>
      </c>
    </row>
    <row r="135" spans="1:9" ht="16.5" customHeight="1" x14ac:dyDescent="0.2">
      <c r="C135" s="854"/>
      <c r="D135" s="855"/>
      <c r="E135" s="611"/>
      <c r="F135" s="722"/>
      <c r="G135" s="722"/>
      <c r="H135" s="721"/>
      <c r="I135" s="721"/>
    </row>
    <row r="136" spans="1:9" ht="21" customHeight="1" x14ac:dyDescent="0.2">
      <c r="C136" s="723" t="str">
        <f ca="1">OFFSET(Sprachen!A145,0,'START, DÉBUT, INIZIO'!$D$4-1,1,1)</f>
        <v>Firma</v>
      </c>
      <c r="D136" s="724"/>
      <c r="E136" s="723" t="str">
        <f ca="1">OFFSET(Sprachen!A47,0,'START, DÉBUT, INIZIO'!$D$4-1,1,1)</f>
        <v>Vorname, Name</v>
      </c>
      <c r="F136" s="725"/>
      <c r="G136" s="723" t="str">
        <f ca="1">OFFSET(Sprachen!A48,0,'START, DÉBUT, INIZIO'!$D$4-1,1,1)</f>
        <v>Funktion</v>
      </c>
      <c r="H136" s="723" t="str">
        <f ca="1">OFFSET(Sprachen!A146,0,'START, DÉBUT, INIZIO'!$D$4-1,1,1)</f>
        <v>Unterschrift</v>
      </c>
      <c r="I136" s="559"/>
    </row>
    <row r="137" spans="1:9" ht="30" customHeight="1" x14ac:dyDescent="0.2">
      <c r="C137" s="850"/>
      <c r="D137" s="850"/>
      <c r="E137" s="851"/>
      <c r="F137" s="852"/>
      <c r="G137" s="612"/>
      <c r="H137" s="853"/>
      <c r="I137" s="832"/>
    </row>
    <row r="138" spans="1:9" ht="18" customHeight="1" x14ac:dyDescent="0.2">
      <c r="F138" s="453"/>
    </row>
    <row r="139" spans="1:9" ht="18" customHeight="1" x14ac:dyDescent="0.2">
      <c r="C139" s="723" t="str">
        <f ca="1">OFFSET(Sprachen!A143,0,'START, DÉBUT, INIZIO'!$D$4-1,1,1)</f>
        <v>Ort</v>
      </c>
      <c r="D139" s="724"/>
      <c r="E139" s="723" t="str">
        <f ca="1">OFFSET(Sprachen!A144,0,'START, DÉBUT, INIZIO'!$D$4-1,1,1)</f>
        <v>Datum</v>
      </c>
    </row>
    <row r="140" spans="1:9" ht="16.5" customHeight="1" x14ac:dyDescent="0.2">
      <c r="C140" s="854"/>
      <c r="D140" s="855"/>
      <c r="E140" s="611"/>
      <c r="F140" s="722"/>
      <c r="G140" s="722"/>
      <c r="H140" s="721"/>
      <c r="I140" s="721"/>
    </row>
    <row r="141" spans="1:9" ht="21" customHeight="1" x14ac:dyDescent="0.2">
      <c r="C141" s="723" t="str">
        <f ca="1">OFFSET(Sprachen!A145,0,'START, DÉBUT, INIZIO'!$D$4-1,1,1)</f>
        <v>Firma</v>
      </c>
      <c r="D141" s="724"/>
      <c r="E141" s="723" t="str">
        <f ca="1">OFFSET(Sprachen!A47,0,'START, DÉBUT, INIZIO'!$D$4-1,1,1)</f>
        <v>Vorname, Name</v>
      </c>
      <c r="F141" s="725"/>
      <c r="G141" s="723" t="str">
        <f ca="1">OFFSET(Sprachen!A48,0,'START, DÉBUT, INIZIO'!$D$4-1,1,1)</f>
        <v>Funktion</v>
      </c>
      <c r="H141" s="723" t="str">
        <f ca="1">OFFSET(Sprachen!A146,0,'START, DÉBUT, INIZIO'!$D$4-1,1,1)</f>
        <v>Unterschrift</v>
      </c>
      <c r="I141" s="559"/>
    </row>
    <row r="142" spans="1:9" ht="30" customHeight="1" x14ac:dyDescent="0.2">
      <c r="C142" s="850"/>
      <c r="D142" s="850"/>
      <c r="E142" s="851"/>
      <c r="F142" s="852"/>
      <c r="G142" s="612"/>
      <c r="H142" s="853"/>
      <c r="I142" s="832"/>
    </row>
    <row r="143" spans="1:9" ht="78" customHeight="1" x14ac:dyDescent="0.2"/>
    <row r="144" spans="1:9" ht="18" customHeight="1" x14ac:dyDescent="0.25">
      <c r="A144" s="588" t="str">
        <f ca="1">OFFSET(Sprachen!A117,0,'START, DÉBUT, INIZIO'!$D$4-1,1,1)</f>
        <v>Verzeichnis der Beilagen</v>
      </c>
    </row>
    <row r="145" spans="1:9" ht="7.5" customHeight="1" x14ac:dyDescent="0.25">
      <c r="A145" s="490"/>
    </row>
    <row r="146" spans="1:9" ht="20.25" customHeight="1" x14ac:dyDescent="0.2">
      <c r="A146" s="833" t="str">
        <f ca="1">OFFSET(Sprachen!A118,0,'START, DÉBUT, INIZIO'!$D$4-1,1,1)</f>
        <v>Die Beilagen müssen zusammen mit der vorliegenden Excel-Datei eingereicht werden</v>
      </c>
      <c r="B146" s="833" t="str">
        <f ca="1">OFFSET(Sprachen!B130,0,'START, DÉBUT, INIZIO'!$D$4-1,1,1)</f>
        <v>Annexes ultérieurs (si nécessaire)</v>
      </c>
      <c r="C146" s="833" t="str">
        <f ca="1">OFFSET(Sprachen!C130,0,'START, DÉBUT, INIZIO'!$D$4-1,1,1)</f>
        <v>Ulteriori allegati (se necessario)</v>
      </c>
      <c r="D146" s="833">
        <f ca="1">OFFSET(Sprachen!D130,0,'START, DÉBUT, INIZIO'!$D$4-1,1,1)</f>
        <v>0</v>
      </c>
      <c r="E146" s="833">
        <f ca="1">OFFSET(Sprachen!E130,0,'START, DÉBUT, INIZIO'!$D$4-1,1,1)</f>
        <v>0</v>
      </c>
      <c r="F146" s="833">
        <f ca="1">OFFSET(Sprachen!F130,0,'START, DÉBUT, INIZIO'!$D$4-1,1,1)</f>
        <v>0</v>
      </c>
      <c r="G146" s="833">
        <f ca="1">OFFSET(Sprachen!G130,0,'START, DÉBUT, INIZIO'!$D$4-1,1,1)</f>
        <v>0</v>
      </c>
      <c r="H146" s="833">
        <f ca="1">OFFSET(Sprachen!H130,0,'START, DÉBUT, INIZIO'!$D$4-1,1,1)</f>
        <v>0</v>
      </c>
      <c r="I146" s="833">
        <f ca="1">OFFSET(Sprachen!I130,0,'START, DÉBUT, INIZIO'!$D$4-1,1,1)</f>
        <v>0</v>
      </c>
    </row>
    <row r="147" spans="1:9" ht="7.5" customHeight="1" x14ac:dyDescent="0.2"/>
    <row r="148" spans="1:9" ht="15.75" customHeight="1" x14ac:dyDescent="0.2">
      <c r="A148" s="548" t="str">
        <f ca="1">OFFSET(Sprachen!A119,0,'START, DÉBUT, INIZIO'!$D$4-1,1,1)</f>
        <v>Pflichtbeilagen</v>
      </c>
    </row>
    <row r="149" spans="1:9" ht="18" customHeight="1" x14ac:dyDescent="0.2">
      <c r="A149" s="561"/>
      <c r="D149" s="565"/>
      <c r="G149" s="592" t="str">
        <f ca="1">OFFSET(Sprachen!A121,0,'START, DÉBUT, INIZIO'!$D$4-1,1,1)</f>
        <v>Bemerkungen, Name des Dokuments etc.</v>
      </c>
    </row>
    <row r="150" spans="1:9" ht="33.75" customHeight="1" thickBot="1" x14ac:dyDescent="0.25">
      <c r="A150" s="561"/>
      <c r="C150" s="579" t="b">
        <v>0</v>
      </c>
      <c r="D150" s="816" t="str">
        <f ca="1">OFFSET(Sprachen!A122,0,'START, DÉBUT, INIZIO'!$D$4-1,1,1)</f>
        <v>Belege zum Investitionstyp (Neuanlage, erhebliche Erweiterung oder Erneuerung)</v>
      </c>
      <c r="E150" s="817"/>
      <c r="F150" s="823"/>
      <c r="G150" s="834" t="s">
        <v>1578</v>
      </c>
      <c r="H150" s="826"/>
      <c r="I150" s="826"/>
    </row>
    <row r="151" spans="1:9" ht="32.1" customHeight="1" thickBot="1" x14ac:dyDescent="0.25">
      <c r="A151" s="561"/>
      <c r="C151" s="580" t="b">
        <v>0</v>
      </c>
      <c r="D151" s="816" t="str">
        <f ca="1">OFFSET(Sprachen!A123,0,'START, DÉBUT, INIZIO'!$D$4-1,1,1)</f>
        <v>Baureife: Rechtskräftige Baubewilligung inkl. Rechtskraftbescheinigung, oder</v>
      </c>
      <c r="E151" s="817"/>
      <c r="F151" s="823"/>
      <c r="G151" s="824"/>
      <c r="H151" s="814"/>
      <c r="I151" s="814"/>
    </row>
    <row r="152" spans="1:9" ht="32.1" customHeight="1" thickBot="1" x14ac:dyDescent="0.25">
      <c r="A152" s="561"/>
      <c r="C152" s="580" t="b">
        <v>0</v>
      </c>
      <c r="D152" s="816" t="str">
        <f ca="1">OFFSET(Sprachen!A124,0,'START, DÉBUT, INIZIO'!$D$4-1,1,1)</f>
        <v>Nachweis der Baureife und Bestätigung der Baubewilligungsfreiheit durch die zuständige Behörde</v>
      </c>
      <c r="E152" s="817"/>
      <c r="F152" s="823"/>
      <c r="G152" s="824"/>
      <c r="H152" s="814"/>
      <c r="I152" s="814"/>
    </row>
    <row r="153" spans="1:9" ht="33" customHeight="1" thickBot="1" x14ac:dyDescent="0.25">
      <c r="A153" s="561"/>
      <c r="C153" s="581" t="b">
        <v>0</v>
      </c>
      <c r="D153" s="817" t="str">
        <f ca="1">OFFSET(Sprachen!A125,0,'START, DÉBUT, INIZIO'!$D$4-1,1,1)</f>
        <v>Nachweis über die Gültigkeit des Wassernutzungsrechts</v>
      </c>
      <c r="E153" s="817"/>
      <c r="F153" s="823"/>
      <c r="G153" s="824"/>
      <c r="H153" s="814"/>
      <c r="I153" s="814"/>
    </row>
    <row r="154" spans="1:9" ht="32.1" customHeight="1" thickBot="1" x14ac:dyDescent="0.25">
      <c r="A154" s="561"/>
      <c r="C154" s="581" t="b">
        <v>0</v>
      </c>
      <c r="D154" s="817" t="str">
        <f ca="1">OFFSET(Sprachen!A126,0,'START, DÉBUT, INIZIO'!$D$4-1,1,1)</f>
        <v>Projektbeschrieb</v>
      </c>
      <c r="E154" s="817"/>
      <c r="F154" s="823"/>
      <c r="G154" s="829"/>
      <c r="H154" s="829"/>
      <c r="I154" s="824"/>
    </row>
    <row r="155" spans="1:9" ht="32.1" customHeight="1" thickBot="1" x14ac:dyDescent="0.25">
      <c r="A155" s="561"/>
      <c r="C155" s="580" t="b">
        <v>0</v>
      </c>
      <c r="D155" s="816" t="str">
        <f ca="1">OFFSET(Sprachen!A127,0,'START, DÉBUT, INIZIO'!$D$4-1,1,1)</f>
        <v>Technische Beschreibung der Anlage inkl. Pläne Bauprojekt</v>
      </c>
      <c r="E155" s="817"/>
      <c r="F155" s="823"/>
      <c r="G155" s="824"/>
      <c r="H155" s="814"/>
      <c r="I155" s="814"/>
    </row>
    <row r="156" spans="1:9" ht="32.1" customHeight="1" thickBot="1" x14ac:dyDescent="0.25">
      <c r="A156" s="561"/>
      <c r="C156" s="580" t="b">
        <v>0</v>
      </c>
      <c r="D156" s="816" t="str">
        <f ca="1">OFFSET(Sprachen!A129,0,'START, DÉBUT, INIZIO'!$D$4-1,1,1)</f>
        <v>Hydraulisches Anlageschema</v>
      </c>
      <c r="E156" s="817"/>
      <c r="F156" s="823"/>
      <c r="G156" s="824"/>
      <c r="H156" s="814"/>
      <c r="I156" s="814"/>
    </row>
    <row r="157" spans="1:9" ht="31.5" customHeight="1" x14ac:dyDescent="0.2">
      <c r="A157" s="561"/>
      <c r="C157" s="582" t="b">
        <v>0</v>
      </c>
      <c r="D157" s="816" t="str">
        <f ca="1">OFFSET(Sprachen!A128,0,'START, DÉBUT, INIZIO'!$D$4-1,1,1)</f>
        <v>Terminplan</v>
      </c>
      <c r="E157" s="817"/>
      <c r="F157" s="823"/>
      <c r="G157" s="825"/>
      <c r="H157" s="818"/>
      <c r="I157" s="818"/>
    </row>
    <row r="158" spans="1:9" ht="32.1" customHeight="1" x14ac:dyDescent="0.2">
      <c r="A158" s="561"/>
    </row>
    <row r="159" spans="1:9" ht="16.5" customHeight="1" x14ac:dyDescent="0.2">
      <c r="A159" s="548" t="str">
        <f ca="1">OFFSET(Sprachen!A130,0,'START, DÉBUT, INIZIO'!$D$4-1,1,1)</f>
        <v>Weitere Beilagen (nach Bedarf)</v>
      </c>
      <c r="D159" s="583"/>
    </row>
    <row r="160" spans="1:9" ht="18" customHeight="1" x14ac:dyDescent="0.2">
      <c r="A160" s="561"/>
      <c r="D160" s="565"/>
      <c r="G160" s="592" t="str">
        <f ca="1">OFFSET(Sprachen!A121,0,'START, DÉBUT, INIZIO'!$D$4-1,1,1)</f>
        <v>Bemerkungen, Name des Dokuments etc.</v>
      </c>
    </row>
    <row r="161" spans="1:9" ht="27" customHeight="1" thickBot="1" x14ac:dyDescent="0.25">
      <c r="A161" s="584"/>
      <c r="B161" s="585"/>
      <c r="C161" s="586" t="b">
        <v>0</v>
      </c>
      <c r="D161" s="816" t="str">
        <f ca="1">OFFSET(Sprachen!A131,0,'START, DÉBUT, INIZIO'!$D$4-1,1,1)</f>
        <v>Begründung und Belege zur Ausnahme von der Leistungsuntergrenze</v>
      </c>
      <c r="E161" s="817"/>
      <c r="F161" s="817"/>
      <c r="G161" s="826" t="s">
        <v>1578</v>
      </c>
      <c r="H161" s="826"/>
      <c r="I161" s="827"/>
    </row>
    <row r="162" spans="1:9" s="585" customFormat="1" ht="32.1" customHeight="1" thickBot="1" x14ac:dyDescent="0.25">
      <c r="A162" s="561"/>
      <c r="B162" s="453"/>
      <c r="C162" s="580" t="b">
        <v>0</v>
      </c>
      <c r="D162" s="816" t="str">
        <f ca="1">OFFSET(Sprachen!A132,0,'START, DÉBUT, INIZIO'!$D$4-1,1,1)</f>
        <v>Begründung und Belege zum Antrag auf früheren Baubeginn</v>
      </c>
      <c r="E162" s="817"/>
      <c r="F162" s="817"/>
      <c r="G162" s="814"/>
      <c r="H162" s="814"/>
      <c r="I162" s="815"/>
    </row>
    <row r="163" spans="1:9" ht="32.1" customHeight="1" thickBot="1" x14ac:dyDescent="0.25">
      <c r="A163" s="561"/>
      <c r="C163" s="580" t="b">
        <v>0</v>
      </c>
      <c r="D163" s="816" t="str">
        <f ca="1">OFFSET(Sprachen!A133,0,'START, DÉBUT, INIZIO'!$D$4-1,1,1)</f>
        <v>Belege zum zusätzlichen Winterproduktionsanteil von mindestens 50% sowie 5 GWh</v>
      </c>
      <c r="E163" s="817"/>
      <c r="F163" s="817"/>
      <c r="G163" s="814"/>
      <c r="H163" s="814"/>
      <c r="I163" s="815"/>
    </row>
    <row r="164" spans="1:9" ht="34.5" customHeight="1" thickBot="1" x14ac:dyDescent="0.25">
      <c r="A164" s="561"/>
      <c r="C164" s="580" t="b">
        <v>0</v>
      </c>
      <c r="D164" s="816" t="str">
        <f ca="1">OFFSET(Sprachen!A134,0,'START, DÉBUT, INIZIO'!$D$4-1,1,1)</f>
        <v>Restwertvereinbarung</v>
      </c>
      <c r="E164" s="817"/>
      <c r="F164" s="817"/>
      <c r="G164" s="814"/>
      <c r="H164" s="814"/>
      <c r="I164" s="815"/>
    </row>
    <row r="165" spans="1:9" ht="32.1" customHeight="1" thickBot="1" x14ac:dyDescent="0.25">
      <c r="A165" s="561"/>
      <c r="C165" s="580" t="b">
        <v>0</v>
      </c>
      <c r="D165" s="816" t="str">
        <f ca="1">OFFSET(Sprachen!A135,0,'START, DÉBUT, INIZIO'!$D$4-1,1,1)</f>
        <v>Belege zu anderweitigen Finanzhhilfen</v>
      </c>
      <c r="E165" s="817"/>
      <c r="F165" s="817"/>
      <c r="G165" s="814"/>
      <c r="H165" s="814"/>
      <c r="I165" s="815"/>
    </row>
    <row r="166" spans="1:9" ht="32.1" customHeight="1" thickBot="1" x14ac:dyDescent="0.25">
      <c r="A166" s="561"/>
      <c r="C166" s="580" t="b">
        <v>0</v>
      </c>
      <c r="D166" s="816" t="str">
        <f ca="1">OFFSET(Sprachen!A136,0,'START, DÉBUT, INIZIO'!$D$4-1,1,1)</f>
        <v>Nachweis der angegebenen Produktionsausfälle (Energie und entsprechende Preise)</v>
      </c>
      <c r="E166" s="817"/>
      <c r="F166" s="817"/>
      <c r="G166" s="814"/>
      <c r="H166" s="814"/>
      <c r="I166" s="815"/>
    </row>
    <row r="167" spans="1:9" ht="32.1" customHeight="1" x14ac:dyDescent="0.2">
      <c r="A167" s="561"/>
      <c r="C167" s="582" t="b">
        <v>0</v>
      </c>
      <c r="D167" s="816" t="str">
        <f ca="1">OFFSET(Sprachen!A137,0,'START, DÉBUT, INIZIO'!$D$4-1,1,1)</f>
        <v>Weitere</v>
      </c>
      <c r="E167" s="817"/>
      <c r="F167" s="817"/>
      <c r="G167" s="818"/>
      <c r="H167" s="818"/>
      <c r="I167" s="819"/>
    </row>
    <row r="168" spans="1:9" ht="32.1" customHeight="1" x14ac:dyDescent="0.2">
      <c r="A168" s="561"/>
      <c r="D168" s="820" t="str">
        <f ca="1">OFFSET(Sprachen!A56,0,'START, DÉBUT, INIZIO'!$D$4-1,1,1)</f>
        <v>weitere Zeilen nach Bedarf einfügen</v>
      </c>
      <c r="E168" s="821"/>
      <c r="F168" s="822"/>
    </row>
    <row r="169" spans="1:9" ht="18" customHeight="1" x14ac:dyDescent="0.2">
      <c r="A169" s="561"/>
      <c r="D169" s="583"/>
    </row>
    <row r="171" spans="1:9" ht="18" customHeight="1" x14ac:dyDescent="0.2">
      <c r="D171" s="587" t="s">
        <v>1566</v>
      </c>
      <c r="E171" s="587"/>
    </row>
  </sheetData>
  <sheetProtection algorithmName="SHA-512" hashValue="j4FLXum6HZmNdnbA8JK4NlrJeNp4Sg1deqg5fqeVWbXLR+KenrCXxndmKfHbVQc2gp8gObC5zRVXTDpWwp/J7Q==" saltValue="uXPyli25g/t6Ht2Pr+ADUA==" spinCount="100000" sheet="1" formatRows="0" insertRows="0"/>
  <mergeCells count="94">
    <mergeCell ref="E26:F26"/>
    <mergeCell ref="E31:F31"/>
    <mergeCell ref="E37:F37"/>
    <mergeCell ref="E84:F84"/>
    <mergeCell ref="C140:D140"/>
    <mergeCell ref="E35:F35"/>
    <mergeCell ref="E36:F36"/>
    <mergeCell ref="E39:F39"/>
    <mergeCell ref="E63:G63"/>
    <mergeCell ref="C71:D72"/>
    <mergeCell ref="E65:I67"/>
    <mergeCell ref="A43:I43"/>
    <mergeCell ref="A60:I60"/>
    <mergeCell ref="A47:I47"/>
    <mergeCell ref="A51:I51"/>
    <mergeCell ref="A61:I61"/>
    <mergeCell ref="C142:D142"/>
    <mergeCell ref="E142:F142"/>
    <mergeCell ref="H142:I142"/>
    <mergeCell ref="E117:I117"/>
    <mergeCell ref="C135:D135"/>
    <mergeCell ref="E137:F137"/>
    <mergeCell ref="H137:I137"/>
    <mergeCell ref="D123:I124"/>
    <mergeCell ref="C137:D137"/>
    <mergeCell ref="C127:I127"/>
    <mergeCell ref="C131:I131"/>
    <mergeCell ref="C129:E129"/>
    <mergeCell ref="F20:G20"/>
    <mergeCell ref="E9:G9"/>
    <mergeCell ref="E12:F12"/>
    <mergeCell ref="E15:F15"/>
    <mergeCell ref="C53:D54"/>
    <mergeCell ref="E45:H45"/>
    <mergeCell ref="C22:D22"/>
    <mergeCell ref="E23:F23"/>
    <mergeCell ref="E24:F24"/>
    <mergeCell ref="E25:F25"/>
    <mergeCell ref="E29:F29"/>
    <mergeCell ref="E30:F30"/>
    <mergeCell ref="E34:F34"/>
    <mergeCell ref="H12:I12"/>
    <mergeCell ref="E13:F13"/>
    <mergeCell ref="H13:I13"/>
    <mergeCell ref="E14:F14"/>
    <mergeCell ref="H14:I14"/>
    <mergeCell ref="H15:I15"/>
    <mergeCell ref="E16:F16"/>
    <mergeCell ref="H16:I16"/>
    <mergeCell ref="H17:I17"/>
    <mergeCell ref="G154:I154"/>
    <mergeCell ref="E82:F82"/>
    <mergeCell ref="E83:F83"/>
    <mergeCell ref="E93:G95"/>
    <mergeCell ref="A146:I146"/>
    <mergeCell ref="D150:F150"/>
    <mergeCell ref="G150:I150"/>
    <mergeCell ref="D151:F151"/>
    <mergeCell ref="D152:F152"/>
    <mergeCell ref="D153:F153"/>
    <mergeCell ref="G153:I153"/>
    <mergeCell ref="G151:I151"/>
    <mergeCell ref="G152:I152"/>
    <mergeCell ref="B114:D116"/>
    <mergeCell ref="D121:I122"/>
    <mergeCell ref="G164:I164"/>
    <mergeCell ref="G155:I155"/>
    <mergeCell ref="D157:F157"/>
    <mergeCell ref="G157:I157"/>
    <mergeCell ref="D161:F161"/>
    <mergeCell ref="G161:I161"/>
    <mergeCell ref="D156:F156"/>
    <mergeCell ref="G156:I156"/>
    <mergeCell ref="G162:I162"/>
    <mergeCell ref="G163:I163"/>
    <mergeCell ref="D168:F168"/>
    <mergeCell ref="D165:F165"/>
    <mergeCell ref="D162:F162"/>
    <mergeCell ref="D155:F155"/>
    <mergeCell ref="D154:F154"/>
    <mergeCell ref="D163:F163"/>
    <mergeCell ref="D164:F164"/>
    <mergeCell ref="G165:I165"/>
    <mergeCell ref="D166:F166"/>
    <mergeCell ref="G166:I166"/>
    <mergeCell ref="D167:F167"/>
    <mergeCell ref="G167:I167"/>
    <mergeCell ref="E113:I113"/>
    <mergeCell ref="B111:D113"/>
    <mergeCell ref="A78:I78"/>
    <mergeCell ref="A88:I88"/>
    <mergeCell ref="A97:I97"/>
    <mergeCell ref="A92:I92"/>
    <mergeCell ref="B101:D103"/>
  </mergeCells>
  <hyperlinks>
    <hyperlink ref="I1" location="'START, DÉBUT, INIZIO'!A1" display="START / DÉBUT / INIZIO" xr:uid="{D20BDDE7-9410-40A3-AA73-DD74866A11FA}"/>
    <hyperlink ref="D171" location="'1 Allgemeines &amp; Unterschrift'!A1" display="Seitenanfang / haut de page / inizio pagina" xr:uid="{C7406094-1E62-4D70-9BBE-BD3360FA0293}"/>
    <hyperlink ref="F69" location="'3 Investitionskosten'!A1" display="'3 Investitionskosten'!A1" xr:uid="{FB9D3FF5-18C6-4487-874C-D3E198D90902}"/>
    <hyperlink ref="E86" location="'2 Techn. Angaben &amp; Produktion'!A1" display="'2 Techn. Angaben &amp; Produktion'!A1" xr:uid="{FF479124-67BA-415A-9C0C-EDB0F9705135}"/>
  </hyperlinks>
  <pageMargins left="0.70866141732283472" right="0.70866141732283472" top="0.78740157480314965" bottom="0.78740157480314965" header="0.31496062992125984" footer="0.31496062992125984"/>
  <pageSetup paperSize="9" scale="58" orientation="portrait" r:id="rId1"/>
  <headerFooter>
    <oddFooter>&amp;C&amp;12&amp;P/&amp;N&amp;R&amp;12&amp;D</oddFooter>
  </headerFooter>
  <rowBreaks count="2" manualBreakCount="2">
    <brk id="68" max="8" man="1"/>
    <brk id="118" max="8" man="1"/>
  </rowBreaks>
  <extLst>
    <ext xmlns:x14="http://schemas.microsoft.com/office/spreadsheetml/2009/9/main" uri="{78C0D931-6437-407d-A8EE-F0AAD7539E65}">
      <x14:conditionalFormattings>
        <x14:conditionalFormatting xmlns:xm="http://schemas.microsoft.com/office/excel/2006/main">
          <x14:cfRule type="expression" priority="346" id="{99D13E4C-5E87-4894-8F9E-AD7517B85D1E}">
            <xm:f>'START, DÉBUT, INIZIO'!$E$4=1</xm:f>
            <x14:dxf>
              <font>
                <color theme="0"/>
              </font>
              <fill>
                <patternFill patternType="none">
                  <bgColor auto="1"/>
                </patternFill>
              </fill>
            </x14:dxf>
          </x14:cfRule>
          <xm:sqref>A105:I116 A117:E117 C126:C127 C131 C132:E132</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CEB6BC6A-C345-42F0-AA6A-B5BF5FBFA7C9}">
          <x14:formula1>
            <xm:f>DropDown!$A$38:$A$39</xm:f>
          </x14:formula1>
          <xm:sqref>E45</xm:sqref>
        </x14:dataValidation>
        <x14:dataValidation type="list" allowBlank="1" showInputMessage="1" showErrorMessage="1" xr:uid="{F0F26F4E-FEBC-4C12-8C13-F6AE6AC7DA66}">
          <x14:formula1>
            <xm:f>DropDown!$A$42:$A$43</xm:f>
          </x14:formula1>
          <xm:sqref>E63:G63</xm:sqref>
        </x14:dataValidation>
        <x14:dataValidation type="list" allowBlank="1" showInputMessage="1" showErrorMessage="1" xr:uid="{DEFAB742-923E-4E1B-BE85-325EDBA1645F}">
          <x14:formula1>
            <xm:f>DropDown!$A$52:$A$56</xm:f>
          </x14:formula1>
          <xm:sqref>E93:E95 F93:G96</xm:sqref>
        </x14:dataValidation>
        <x14:dataValidation type="list" allowBlank="1" showInputMessage="1" showErrorMessage="1" xr:uid="{39C2DD15-9F64-455A-A8E5-366B5B29C28C}">
          <x14:formula1>
            <xm:f>DropDown!$A$46:$A$47</xm:f>
          </x14:formula1>
          <xm:sqref>I82:I83</xm:sqref>
        </x14:dataValidation>
        <x14:dataValidation type="list" allowBlank="1" showInputMessage="1" showErrorMessage="1" xr:uid="{BA97F3F1-83B6-4572-8568-3A91C42F9170}">
          <x14:formula1>
            <xm:f>DropDown!$C$21:$C$22</xm:f>
          </x14:formula1>
          <xm:sqref>E17</xm:sqref>
        </x14:dataValidation>
        <x14:dataValidation type="list" allowBlank="1" showInputMessage="1" showErrorMessage="1" xr:uid="{BABAB5A1-2AA8-4E59-AE0A-67C7988756DC}">
          <x14:formula1>
            <xm:f>DropDown!$A$59:$A$60</xm:f>
          </x14:formula1>
          <xm:sqref>C129:E129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DDC73-2AD5-4051-9A57-3E7C745280FB}">
  <sheetPr>
    <tabColor theme="8" tint="0.59999389629810485"/>
  </sheetPr>
  <dimension ref="A1:L48"/>
  <sheetViews>
    <sheetView showGridLines="0" zoomScaleNormal="100" workbookViewId="0">
      <selection activeCell="C26" sqref="C26"/>
    </sheetView>
  </sheetViews>
  <sheetFormatPr baseColWidth="10" defaultColWidth="11.42578125" defaultRowHeight="15.95" customHeight="1" x14ac:dyDescent="0.2"/>
  <cols>
    <col min="1" max="1" width="1.7109375" style="453" customWidth="1"/>
    <col min="2" max="2" width="5.28515625" style="453" customWidth="1"/>
    <col min="3" max="3" width="3.140625" style="453" customWidth="1"/>
    <col min="4" max="4" width="2.5703125" style="453" customWidth="1"/>
    <col min="5" max="5" width="70" style="563" customWidth="1"/>
    <col min="6" max="6" width="8.5703125" style="563" customWidth="1"/>
    <col min="7" max="7" width="6.140625" style="453" customWidth="1"/>
    <col min="8" max="8" width="11.42578125" style="453"/>
    <col min="9" max="9" width="21.42578125" style="453" customWidth="1"/>
    <col min="10" max="10" width="11.42578125" style="453" customWidth="1"/>
    <col min="11" max="11" width="25.28515625" style="453" customWidth="1"/>
    <col min="12" max="12" width="14.42578125" style="453" customWidth="1"/>
    <col min="13" max="16384" width="11.42578125" style="453"/>
  </cols>
  <sheetData>
    <row r="1" spans="1:12" s="559" customFormat="1" ht="26.25" customHeight="1" x14ac:dyDescent="0.2">
      <c r="A1" s="557"/>
      <c r="B1" s="672" t="str">
        <f ca="1">OFFSET(Sprachen!A147,0,'START, DÉBUT, INIZIO'!$D$4-1,1,1)</f>
        <v>1a Investitionstyp: Begründung</v>
      </c>
      <c r="C1" s="555"/>
      <c r="D1" s="555"/>
      <c r="E1" s="655"/>
      <c r="F1" s="655"/>
      <c r="G1" s="555"/>
      <c r="H1" s="555"/>
      <c r="I1" s="555"/>
      <c r="J1" s="555"/>
      <c r="K1" s="558" t="s">
        <v>1581</v>
      </c>
    </row>
    <row r="2" spans="1:12" ht="7.5" customHeight="1" x14ac:dyDescent="0.2"/>
    <row r="3" spans="1:12" ht="15.95" customHeight="1" x14ac:dyDescent="0.2">
      <c r="B3" s="673" t="str">
        <f ca="1">OFFSET(Sprachen!A148,0,'START, DÉBUT, INIZIO'!$D$4-1,1,1)</f>
        <v>Bitte kreuzen Sie die zutreffenden Kriterien für den gewählten Investitionstyp (Wert aus Blatt "Start") an</v>
      </c>
    </row>
    <row r="4" spans="1:12" ht="7.5" customHeight="1" x14ac:dyDescent="0.25">
      <c r="B4" s="494"/>
    </row>
    <row r="5" spans="1:12" ht="15.95" customHeight="1" x14ac:dyDescent="0.25">
      <c r="B5" s="727" t="b">
        <f ca="1">IF('START, DÉBUT, INIZIO'!C19=OFFSET(Sprachen!A732,0,'START, DÉBUT, INIZIO'!$D$4-1,1,1),TRUE,FALSE)</f>
        <v>0</v>
      </c>
      <c r="C5" s="728" t="str">
        <f ca="1">OFFSET(Sprachen!A150,0,'START, DÉBUT, INIZIO'!$D$4-1,1,1)</f>
        <v>Neuanlage (Art. 3 Abs. 1 Bst. a EnFV)</v>
      </c>
      <c r="D5" s="729"/>
      <c r="E5" s="729"/>
      <c r="F5" s="671"/>
      <c r="G5" s="676" t="str">
        <f ca="1">OFFSET(Sprachen!A78,0,'START, DÉBUT, INIZIO'!$D$4-1,1,1)</f>
        <v>Begründung</v>
      </c>
    </row>
    <row r="6" spans="1:12" ht="15.95" customHeight="1" x14ac:dyDescent="0.25">
      <c r="B6" s="669"/>
      <c r="C6" s="563" t="str">
        <f ca="1">OFFSET(Sprachen!A151,0,'START, DÉBUT, INIZIO'!$D$4-1,1,1)</f>
        <v>Als Neuanlagen gilt</v>
      </c>
      <c r="D6" s="563"/>
      <c r="F6" s="671"/>
      <c r="G6" s="450"/>
    </row>
    <row r="7" spans="1:12" ht="15.95" customHeight="1" x14ac:dyDescent="0.25">
      <c r="C7" s="494" t="str">
        <f ca="1">IF(AND(B5=TRUE,C8=FALSE),OFFSET(Sprachen!A149,0,'START, DÉBUT, INIZIO'!$D$4-1,1,1),"")</f>
        <v/>
      </c>
      <c r="D7" s="670"/>
      <c r="E7" s="670"/>
      <c r="G7" s="832" t="str">
        <f ca="1">OFFSET(Sprachen!A79,0,'START, DÉBUT, INIZIO'!$D$4-1,1,1)</f>
        <v>Text (oder Beilage)</v>
      </c>
      <c r="H7" s="832"/>
      <c r="I7" s="832"/>
      <c r="J7" s="832"/>
      <c r="K7" s="832"/>
    </row>
    <row r="8" spans="1:12" ht="15.95" customHeight="1" x14ac:dyDescent="0.2">
      <c r="C8" s="730" t="b">
        <v>0</v>
      </c>
      <c r="D8" s="720" t="s">
        <v>1302</v>
      </c>
      <c r="E8" s="563" t="str">
        <f ca="1">OFFSET(Sprachen!A152,0,'START, DÉBUT, INIZIO'!$D$4-1,1,1)</f>
        <v>eine Anlage, die ein hydraulisches Potenzial erstmals nutzt</v>
      </c>
      <c r="G8" s="832"/>
      <c r="H8" s="832"/>
      <c r="I8" s="832"/>
      <c r="J8" s="832"/>
      <c r="K8" s="832"/>
      <c r="L8" s="656"/>
    </row>
    <row r="9" spans="1:12" ht="15.95" customHeight="1" x14ac:dyDescent="0.25">
      <c r="B9" s="494"/>
      <c r="D9" s="563"/>
      <c r="G9" s="832"/>
      <c r="H9" s="832"/>
      <c r="I9" s="832"/>
      <c r="J9" s="832"/>
      <c r="K9" s="832"/>
      <c r="L9" s="656"/>
    </row>
    <row r="10" spans="1:12" ht="15.95" customHeight="1" x14ac:dyDescent="0.25">
      <c r="B10" s="727" t="b">
        <f ca="1">IF('START, DÉBUT, INIZIO'!C19=OFFSET(Sprachen!A733,0,'START, DÉBUT, INIZIO'!$D$4-1,1,1),TRUE,FALSE)</f>
        <v>0</v>
      </c>
      <c r="C10" s="728" t="str">
        <f ca="1">OFFSET(Sprachen!A153,0,'START, DÉBUT, INIZIO'!$D$4-1,1,1)</f>
        <v>Erhebliche Erweiterung (Art. 30bbis Abs. 1)</v>
      </c>
      <c r="D10" s="729"/>
      <c r="E10" s="729"/>
      <c r="F10" s="671"/>
      <c r="G10" s="832"/>
      <c r="H10" s="832"/>
      <c r="I10" s="832"/>
      <c r="J10" s="832"/>
      <c r="K10" s="832"/>
      <c r="L10" s="656"/>
    </row>
    <row r="11" spans="1:12" ht="32.25" customHeight="1" x14ac:dyDescent="0.2">
      <c r="C11" s="856" t="str">
        <f ca="1">OFFSET(Sprachen!A154,0,'START, DÉBUT, INIZIO'!$D$4-1,1,1)</f>
        <v>Die Erweiterung einer Anlage ist erheblich, wenn durch bauliche Massnahmen</v>
      </c>
      <c r="D11" s="856"/>
      <c r="E11" s="856"/>
      <c r="G11" s="832"/>
      <c r="H11" s="832"/>
      <c r="I11" s="832"/>
      <c r="J11" s="832"/>
      <c r="K11" s="832"/>
      <c r="L11" s="656"/>
    </row>
    <row r="12" spans="1:12" ht="15.95" customHeight="1" x14ac:dyDescent="0.25">
      <c r="C12" s="494" t="str">
        <f ca="1">IF(AND(COUNTIFS(C13:C26,"WAHR")=0,B10=TRUE),OFFSET(Sprachen!A155,0,'START, DÉBUT, INIZIO'!$D$4-1,1,1),"")</f>
        <v/>
      </c>
      <c r="E12" s="657"/>
      <c r="G12" s="832"/>
      <c r="H12" s="832"/>
      <c r="I12" s="832"/>
      <c r="J12" s="832"/>
      <c r="K12" s="832"/>
      <c r="L12" s="656"/>
    </row>
    <row r="13" spans="1:12" ht="15.95" customHeight="1" x14ac:dyDescent="0.2">
      <c r="C13" s="730" t="b">
        <v>0</v>
      </c>
      <c r="D13" s="720" t="s">
        <v>1302</v>
      </c>
      <c r="E13" s="862" t="str">
        <f ca="1">OFFSET(Sprachen!A156,0,'START, DÉBUT, INIZIO'!$D$4-1,1,1)</f>
        <v>die Ausbauwassermenge aus dem bereits genutzten Gewässer um mindestens 20 Prozent erhöht wird und die erweiterte Anlage über einen Speicher verfügt, mit dessen Inhalt während sechs Volllaststunden Elektrizität produziert werden kann;</v>
      </c>
      <c r="G13" s="832"/>
      <c r="H13" s="832"/>
      <c r="I13" s="832"/>
      <c r="J13" s="832"/>
      <c r="K13" s="832"/>
      <c r="L13" s="656"/>
    </row>
    <row r="14" spans="1:12" ht="15.95" customHeight="1" x14ac:dyDescent="0.2">
      <c r="E14" s="862"/>
      <c r="G14" s="832"/>
      <c r="H14" s="832"/>
      <c r="I14" s="832"/>
      <c r="J14" s="832"/>
      <c r="K14" s="832"/>
      <c r="L14" s="656"/>
    </row>
    <row r="15" spans="1:12" ht="30.75" customHeight="1" x14ac:dyDescent="0.2">
      <c r="E15" s="862"/>
      <c r="G15" s="832"/>
      <c r="H15" s="832"/>
      <c r="I15" s="832"/>
      <c r="J15" s="832"/>
      <c r="K15" s="832"/>
      <c r="L15" s="656"/>
    </row>
    <row r="16" spans="1:12" ht="15.95" customHeight="1" x14ac:dyDescent="0.2">
      <c r="E16" s="658"/>
      <c r="G16" s="832"/>
      <c r="H16" s="832"/>
      <c r="I16" s="832"/>
      <c r="J16" s="832"/>
      <c r="K16" s="832"/>
      <c r="L16" s="656"/>
    </row>
    <row r="17" spans="1:12" ht="15.95" customHeight="1" x14ac:dyDescent="0.2">
      <c r="C17" s="730" t="b">
        <v>0</v>
      </c>
      <c r="D17" s="720" t="s">
        <v>1303</v>
      </c>
      <c r="E17" s="563" t="str">
        <f ca="1">OFFSET(Sprachen!A157,0,'START, DÉBUT, INIZIO'!$D$4-1,1,1)</f>
        <v>die mittlere Bruttofallhöhe um mindestens 10 Prozent erhöht wird;</v>
      </c>
      <c r="G17" s="832"/>
      <c r="H17" s="832"/>
      <c r="I17" s="832"/>
      <c r="J17" s="832"/>
      <c r="K17" s="832"/>
      <c r="L17" s="656"/>
    </row>
    <row r="18" spans="1:12" ht="15.95" customHeight="1" x14ac:dyDescent="0.2">
      <c r="G18" s="832"/>
      <c r="H18" s="832"/>
      <c r="I18" s="832"/>
      <c r="J18" s="832"/>
      <c r="K18" s="832"/>
      <c r="L18" s="656"/>
    </row>
    <row r="19" spans="1:12" ht="15.95" customHeight="1" x14ac:dyDescent="0.2">
      <c r="C19" s="730" t="b">
        <v>0</v>
      </c>
      <c r="D19" s="720" t="s">
        <v>1304</v>
      </c>
      <c r="E19" s="862" t="str">
        <f ca="1">OFFSET(Sprachen!A158,0,'START, DÉBUT, INIZIO'!$D$4-1,1,1)</f>
        <v>zusätzliches Wasser im Umfang von mindestens 10 Prozent des Durchschnitts der in den letzten fünf vollen Betriebsjahren vor der Inbetriebnahme der Erweiterung genutzten Jahreswassermenge genutzt wird;</v>
      </c>
      <c r="G19" s="832"/>
      <c r="H19" s="832"/>
      <c r="I19" s="832"/>
      <c r="J19" s="832"/>
      <c r="K19" s="832"/>
      <c r="L19" s="656"/>
    </row>
    <row r="20" spans="1:12" ht="15.95" customHeight="1" x14ac:dyDescent="0.2">
      <c r="E20" s="862"/>
      <c r="G20" s="832"/>
      <c r="H20" s="832"/>
      <c r="I20" s="832"/>
      <c r="J20" s="832"/>
      <c r="K20" s="832"/>
      <c r="L20" s="656"/>
    </row>
    <row r="21" spans="1:12" ht="27.75" customHeight="1" x14ac:dyDescent="0.2">
      <c r="E21" s="862"/>
      <c r="G21" s="832"/>
      <c r="H21" s="832"/>
      <c r="I21" s="832"/>
      <c r="J21" s="832"/>
      <c r="K21" s="832"/>
      <c r="L21" s="656"/>
    </row>
    <row r="22" spans="1:12" ht="15.95" customHeight="1" x14ac:dyDescent="0.2">
      <c r="G22" s="832"/>
      <c r="H22" s="832"/>
      <c r="I22" s="832"/>
      <c r="J22" s="832"/>
      <c r="K22" s="832"/>
      <c r="L22" s="656"/>
    </row>
    <row r="23" spans="1:12" ht="15.95" customHeight="1" x14ac:dyDescent="0.2">
      <c r="C23" s="730" t="b">
        <v>0</v>
      </c>
      <c r="D23" s="720" t="s">
        <v>1305</v>
      </c>
      <c r="E23" s="862" t="str">
        <f ca="1">OFFSET(Sprachen!A159,0,'START, DÉBUT, INIZIO'!$D$4-1,1,1)</f>
        <v>das nutzbare Speichervolumen sowohl um mindestens 15 Prozent als auch um 150 000 Kubikmeter vergrössert wird; oder</v>
      </c>
      <c r="G23" s="832"/>
      <c r="H23" s="832"/>
      <c r="I23" s="832"/>
      <c r="J23" s="832"/>
      <c r="K23" s="832"/>
      <c r="L23" s="656"/>
    </row>
    <row r="24" spans="1:12" ht="15.95" customHeight="1" x14ac:dyDescent="0.2">
      <c r="E24" s="862"/>
      <c r="G24" s="832"/>
      <c r="H24" s="832"/>
      <c r="I24" s="832"/>
      <c r="J24" s="832"/>
      <c r="K24" s="832"/>
      <c r="L24" s="656"/>
    </row>
    <row r="25" spans="1:12" ht="15.95" customHeight="1" x14ac:dyDescent="0.2">
      <c r="G25" s="832"/>
      <c r="H25" s="832"/>
      <c r="I25" s="832"/>
      <c r="J25" s="832"/>
      <c r="K25" s="832"/>
      <c r="L25" s="656"/>
    </row>
    <row r="26" spans="1:12" ht="15.95" customHeight="1" x14ac:dyDescent="0.2">
      <c r="C26" s="730" t="b">
        <v>0</v>
      </c>
      <c r="D26" s="720" t="s">
        <v>1306</v>
      </c>
      <c r="E26" s="862" t="str">
        <f ca="1">OFFSET(Sprachen!A160,0,'START, DÉBUT, INIZIO'!$D$4-1,1,1)</f>
        <v>die durchschnittliche jährliche Nettoproduktion gegenüber dem Durchschnitt der letzten fünf vollen Betriebsjahre vor der Einreichung des Gesuchs um ei-nen Investitionsbeitrag um mindestens 20 Prozent oder 30 GWh gesteigert wird.</v>
      </c>
      <c r="G26" s="832"/>
      <c r="H26" s="832"/>
      <c r="I26" s="832"/>
      <c r="J26" s="832"/>
      <c r="K26" s="832"/>
      <c r="L26" s="656"/>
    </row>
    <row r="27" spans="1:12" ht="15.95" customHeight="1" x14ac:dyDescent="0.2">
      <c r="E27" s="862"/>
      <c r="G27" s="832"/>
      <c r="H27" s="832"/>
      <c r="I27" s="832"/>
      <c r="J27" s="832"/>
      <c r="K27" s="832"/>
      <c r="L27" s="656"/>
    </row>
    <row r="28" spans="1:12" ht="30" customHeight="1" x14ac:dyDescent="0.2">
      <c r="E28" s="862"/>
      <c r="G28" s="832"/>
      <c r="H28" s="832"/>
      <c r="I28" s="832"/>
      <c r="J28" s="832"/>
      <c r="K28" s="832"/>
      <c r="L28" s="656"/>
    </row>
    <row r="29" spans="1:12" ht="15.95" customHeight="1" x14ac:dyDescent="0.25">
      <c r="B29" s="494" t="str">
        <f ca="1">IF(COUNTIFS(B30:B54,"WAHR")&gt;1,"Nur 1 Investitionstyp auswählen","")</f>
        <v/>
      </c>
      <c r="G29" s="832"/>
      <c r="H29" s="832"/>
      <c r="I29" s="832"/>
      <c r="J29" s="832"/>
      <c r="K29" s="832"/>
      <c r="L29" s="656"/>
    </row>
    <row r="30" spans="1:12" ht="15.95" customHeight="1" x14ac:dyDescent="0.25">
      <c r="A30" s="678"/>
      <c r="B30" s="727" t="b">
        <f ca="1">IF('START, DÉBUT, INIZIO'!C19=OFFSET(Sprachen!A734,0,'START, DÉBUT, INIZIO'!$D$4-1,1,1),TRUE,FALSE)</f>
        <v>0</v>
      </c>
      <c r="C30" s="728" t="str">
        <f ca="1">OFFSET(Sprachen!A161,0,'START, DÉBUT, INIZIO'!$D$4-1,1,1)</f>
        <v>Erhebliche Erneuerung (Art. 30bbis Abs, 2)</v>
      </c>
      <c r="D30" s="729"/>
      <c r="E30" s="729"/>
      <c r="F30" s="671"/>
      <c r="G30" s="832"/>
      <c r="H30" s="832"/>
      <c r="I30" s="832"/>
      <c r="J30" s="832"/>
      <c r="K30" s="832"/>
      <c r="L30" s="656"/>
    </row>
    <row r="31" spans="1:12" ht="15.95" customHeight="1" x14ac:dyDescent="0.2">
      <c r="C31" s="563" t="str">
        <f ca="1">OFFSET(Sprachen!A162,0,'START, DÉBUT, INIZIO'!$D$4-1,1,1)</f>
        <v>Die Erneuerung einer Anlage ist erheblich, wenn durch bauliche Massnahmen</v>
      </c>
      <c r="D31" s="563"/>
      <c r="G31" s="832"/>
      <c r="H31" s="832"/>
      <c r="I31" s="832"/>
      <c r="J31" s="832"/>
      <c r="K31" s="832"/>
      <c r="L31" s="656"/>
    </row>
    <row r="32" spans="1:12" ht="15.95" customHeight="1" x14ac:dyDescent="0.25">
      <c r="C32" s="494" t="str">
        <f ca="1">IF(AND(COUNTIFS(C33:C38,"WAHR")&lt;2,B30=TRUE),OFFSET(Sprachen!A163,0,'START, DÉBUT, INIZIO'!$D$4-1,1,1),"")</f>
        <v/>
      </c>
      <c r="E32" s="657"/>
      <c r="G32" s="656"/>
      <c r="H32" s="656"/>
      <c r="I32" s="656"/>
      <c r="J32" s="656"/>
      <c r="K32" s="656"/>
      <c r="L32" s="656"/>
    </row>
    <row r="33" spans="3:12" ht="15.95" customHeight="1" x14ac:dyDescent="0.2">
      <c r="C33" s="730" t="b">
        <v>1</v>
      </c>
      <c r="D33" s="720" t="s">
        <v>1302</v>
      </c>
      <c r="E33" s="862" t="str">
        <f ca="1">OFFSET(Sprachen!A164,0,'START, DÉBUT, INIZIO'!$D$4-1,1,1)</f>
        <v>mindestens eine Hauptkomponente wie Wasserfassung, Zubringerpumpen, Wehr, Speicher, Druckleitung, Maschinen oder elektromechanische Ausrüstung der Anlage ersetzt oder totalsaniert wird; und</v>
      </c>
      <c r="G33" s="656"/>
      <c r="H33" s="656"/>
      <c r="I33" s="656"/>
      <c r="J33" s="656"/>
      <c r="K33" s="656"/>
      <c r="L33" s="656"/>
    </row>
    <row r="34" spans="3:12" ht="15.95" customHeight="1" x14ac:dyDescent="0.2">
      <c r="E34" s="862"/>
      <c r="G34" s="656"/>
      <c r="H34" s="656"/>
      <c r="I34" s="656"/>
      <c r="J34" s="656"/>
      <c r="K34" s="656"/>
      <c r="L34" s="656"/>
    </row>
    <row r="35" spans="3:12" ht="15.95" customHeight="1" x14ac:dyDescent="0.2">
      <c r="E35" s="862"/>
      <c r="G35" s="656"/>
      <c r="H35" s="656"/>
      <c r="I35" s="656"/>
      <c r="J35" s="656"/>
      <c r="K35" s="656"/>
      <c r="L35" s="656"/>
    </row>
    <row r="36" spans="3:12" ht="15.95" customHeight="1" x14ac:dyDescent="0.2">
      <c r="E36" s="862"/>
      <c r="G36" s="656"/>
      <c r="H36" s="656"/>
      <c r="I36" s="656"/>
      <c r="J36" s="656"/>
      <c r="K36" s="656"/>
      <c r="L36" s="656"/>
    </row>
    <row r="37" spans="3:12" ht="7.5" customHeight="1" x14ac:dyDescent="0.2">
      <c r="E37" s="658"/>
      <c r="G37" s="656"/>
      <c r="H37" s="656"/>
      <c r="I37" s="656"/>
      <c r="J37" s="656"/>
      <c r="K37" s="656"/>
      <c r="L37" s="656"/>
    </row>
    <row r="38" spans="3:12" ht="15.95" customHeight="1" x14ac:dyDescent="0.2">
      <c r="C38" s="730" t="b">
        <v>1</v>
      </c>
      <c r="D38" s="720" t="s">
        <v>1303</v>
      </c>
      <c r="E38" s="862" t="str">
        <f ca="1">OFFSET(Sprachen!A165,0,'START, DÉBUT, INIZIO'!$D$4-1,1,1)</f>
        <v>die Investition im Verhältnis zur Nettoproduktion, die innerhalb der letzten fünf vollen Betriebsjahre durchschnittlich in einem Jahr erzielt wurde, mindestens 14 Rp./kWh beträgt.</v>
      </c>
      <c r="G38" s="656"/>
      <c r="H38" s="656"/>
      <c r="I38" s="656"/>
      <c r="J38" s="656"/>
      <c r="K38" s="656"/>
      <c r="L38" s="656"/>
    </row>
    <row r="39" spans="3:12" ht="15.95" customHeight="1" x14ac:dyDescent="0.2">
      <c r="E39" s="862"/>
      <c r="G39" s="656"/>
      <c r="H39" s="656"/>
      <c r="I39" s="656"/>
      <c r="J39" s="656"/>
      <c r="K39" s="656"/>
      <c r="L39" s="656"/>
    </row>
    <row r="40" spans="3:12" ht="15.95" customHeight="1" x14ac:dyDescent="0.2">
      <c r="E40" s="862"/>
      <c r="G40" s="656"/>
      <c r="H40" s="656"/>
      <c r="I40" s="656"/>
      <c r="J40" s="656"/>
      <c r="K40" s="656"/>
      <c r="L40" s="656"/>
    </row>
    <row r="43" spans="3:12" ht="15.95" customHeight="1" x14ac:dyDescent="0.2">
      <c r="E43" s="492" t="s">
        <v>1566</v>
      </c>
    </row>
    <row r="47" spans="3:12" ht="15.95" customHeight="1" x14ac:dyDescent="0.2">
      <c r="E47" s="563" t="e" cm="1">
        <f t="array" aca="1" ref="E47" ca="1">_xlfn.IFS(B5=TRUE,OFFSET(Sprachen!A732,0,'START, DÉBUT, INIZIO'!$D$4-1,1,1),B10=TRUE,OFFSET(Sprachen!A733,0,'START, DÉBUT, INIZIO'!$D$4-1,1,1),B30,OFFSET(Sprachen!A734,0,'START, DÉBUT, INIZIO'!$D$4-1,1,1))</f>
        <v>#N/A</v>
      </c>
    </row>
    <row r="48" spans="3:12" ht="15.95" customHeight="1" x14ac:dyDescent="0.2">
      <c r="E48" s="659"/>
    </row>
  </sheetData>
  <sheetProtection algorithmName="SHA-512" hashValue="/yhKtMDLtcLqPiFNWkuQWkY40FnrFbipAFCjgYWxUAIyGB9YHDPqXDjHRfV1OCBbp6j3PiJOnaVIegi6yh9SYQ==" saltValue="CluWKWtNIX3VzRrXLrkL3Q==" spinCount="100000" sheet="1" objects="1" scenarios="1"/>
  <mergeCells count="8">
    <mergeCell ref="G7:K31"/>
    <mergeCell ref="C11:E11"/>
    <mergeCell ref="E38:E40"/>
    <mergeCell ref="E13:E15"/>
    <mergeCell ref="E19:E21"/>
    <mergeCell ref="E23:E24"/>
    <mergeCell ref="E26:E28"/>
    <mergeCell ref="E33:E36"/>
  </mergeCells>
  <conditionalFormatting sqref="B5:E8">
    <cfRule type="expression" dxfId="358" priority="3">
      <formula>$B$5=FALSE</formula>
    </cfRule>
  </conditionalFormatting>
  <conditionalFormatting sqref="B10:E28">
    <cfRule type="expression" dxfId="357" priority="2">
      <formula>$B$10=FALSE</formula>
    </cfRule>
  </conditionalFormatting>
  <conditionalFormatting sqref="B30:E40">
    <cfRule type="expression" dxfId="356" priority="1">
      <formula>$B$30=FALSE</formula>
    </cfRule>
  </conditionalFormatting>
  <hyperlinks>
    <hyperlink ref="K1" location="'START, DÉBUT, INIZIO'!A1" display="START / DEBUT / INIZIO" xr:uid="{EA8A81BB-C731-4A30-9687-BD998AC5826B}"/>
    <hyperlink ref="E43" location="'1a Begründung Investitionstyp'!A1" display="Seitenanfang / haut de page / inizio pagina" xr:uid="{0D79360B-33D3-46E3-B6F2-335445A69F34}"/>
  </hyperlinks>
  <pageMargins left="0.7" right="0.7" top="0.78740157499999996" bottom="0.78740157499999996" header="0.3" footer="0.3"/>
  <pageSetup paperSize="9" scale="53" orientation="portrait" r:id="rId1"/>
  <colBreaks count="1" manualBreakCount="1">
    <brk id="1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12B93-2C2C-4124-93D7-39E4407571DA}">
  <sheetPr>
    <tabColor theme="8" tint="0.59999389629810485"/>
  </sheetPr>
  <dimension ref="A1:L57"/>
  <sheetViews>
    <sheetView showGridLines="0" zoomScaleNormal="100" workbookViewId="0">
      <selection activeCell="G16" sqref="G16"/>
    </sheetView>
  </sheetViews>
  <sheetFormatPr baseColWidth="10" defaultColWidth="11.42578125" defaultRowHeight="15.95" customHeight="1" x14ac:dyDescent="0.2"/>
  <cols>
    <col min="1" max="1" width="1.7109375" style="453" customWidth="1"/>
    <col min="2" max="2" width="5.28515625" style="453" customWidth="1"/>
    <col min="3" max="3" width="3.140625" style="453" customWidth="1"/>
    <col min="4" max="4" width="2.5703125" style="453" customWidth="1"/>
    <col min="5" max="5" width="70" style="563" customWidth="1"/>
    <col min="6" max="6" width="8.5703125" style="563" customWidth="1"/>
    <col min="7" max="7" width="6.140625" style="453" customWidth="1"/>
    <col min="8" max="8" width="11.42578125" style="453"/>
    <col min="9" max="9" width="21.42578125" style="453" customWidth="1"/>
    <col min="10" max="10" width="11.42578125" style="453"/>
    <col min="11" max="11" width="25.28515625" style="453" customWidth="1"/>
    <col min="12" max="12" width="14.42578125" style="453" customWidth="1"/>
    <col min="13" max="16384" width="11.42578125" style="453"/>
  </cols>
  <sheetData>
    <row r="1" spans="1:12" s="559" customFormat="1" ht="25.5" customHeight="1" x14ac:dyDescent="0.2">
      <c r="A1" s="557"/>
      <c r="B1" s="672" t="str">
        <f ca="1">OFFSET(Sprachen!A166,0,'START, DÉBUT, INIZIO'!$D$4-1,1,1)</f>
        <v>1b Beitragssatz IB</v>
      </c>
      <c r="C1" s="555"/>
      <c r="D1" s="555"/>
      <c r="E1" s="655"/>
      <c r="F1" s="655"/>
      <c r="G1" s="555"/>
      <c r="H1" s="555"/>
      <c r="I1" s="555"/>
      <c r="J1" s="555"/>
      <c r="K1" s="558" t="s">
        <v>1581</v>
      </c>
    </row>
    <row r="2" spans="1:12" ht="7.5" customHeight="1" x14ac:dyDescent="0.2"/>
    <row r="3" spans="1:12" ht="15.95" customHeight="1" x14ac:dyDescent="0.2">
      <c r="B3" s="493"/>
      <c r="G3" s="673" t="str">
        <f ca="1">OFFSET(Sprachen!A168,0,'START, DÉBUT, INIZIO'!$D$4-1,1,1)</f>
        <v>Beitragssatz bestimmen</v>
      </c>
    </row>
    <row r="4" spans="1:12" ht="8.25" customHeight="1" x14ac:dyDescent="0.25">
      <c r="B4" s="679"/>
      <c r="C4" s="678"/>
      <c r="D4" s="678"/>
      <c r="E4" s="677"/>
      <c r="F4" s="453"/>
    </row>
    <row r="5" spans="1:12" ht="15.95" customHeight="1" x14ac:dyDescent="0.25">
      <c r="B5" s="680" t="b">
        <f ca="1">'1a Begründung Investitionstyp'!B5</f>
        <v>0</v>
      </c>
      <c r="C5" s="676" t="str">
        <f ca="1">OFFSET(Sprachen!A150,0,'START, DÉBUT, INIZIO'!$D$4-1,1,1)</f>
        <v>Neuanlage (Art. 3 Abs. 1 Bst. a EnFV)</v>
      </c>
      <c r="D5" s="677"/>
      <c r="E5" s="677"/>
      <c r="F5" s="453"/>
      <c r="H5" s="494" t="str">
        <f ca="1">IF(COUNTIFS(G5:G37,"WAHR")&gt;1,OFFSET(Sprachen!A169,0,'START, DÉBUT, INIZIO'!$D$4-1,1,1),"")</f>
        <v/>
      </c>
    </row>
    <row r="6" spans="1:12" ht="15.95" customHeight="1" x14ac:dyDescent="0.2">
      <c r="B6" s="678"/>
      <c r="C6" s="677" t="str">
        <f ca="1">OFFSET(Sprachen!A151,0,'START, DÉBUT, INIZIO'!$D$4-1,1,1)</f>
        <v>Als Neuanlagen gilt</v>
      </c>
      <c r="D6" s="677"/>
      <c r="E6" s="677"/>
      <c r="F6" s="453"/>
    </row>
    <row r="7" spans="1:12" ht="15.95" customHeight="1" x14ac:dyDescent="0.25">
      <c r="B7" s="678"/>
      <c r="C7" s="679" t="str">
        <f ca="1">IF(AND(B5=TRUE,C8=FALSE),OFFSET(Sprachen!A149,0,'START, DÉBUT, INIZIO'!$D$4-1,1,1),"")</f>
        <v/>
      </c>
      <c r="D7" s="677"/>
      <c r="E7" s="677"/>
      <c r="F7" s="453"/>
    </row>
    <row r="8" spans="1:12" ht="15.95" customHeight="1" x14ac:dyDescent="0.2">
      <c r="B8" s="678"/>
      <c r="C8" s="680" t="b">
        <f>'1a Begründung Investitionstyp'!C8</f>
        <v>0</v>
      </c>
      <c r="D8" s="678" t="s">
        <v>1302</v>
      </c>
      <c r="E8" s="677" t="str">
        <f ca="1">OFFSET(Sprachen!A152,0,'START, DÉBUT, INIZIO'!$D$4-1,1,1)</f>
        <v>eine Anlage, die ein hydraulisches Potenzial erstmals nutzt</v>
      </c>
      <c r="F8" s="453"/>
      <c r="L8" s="656"/>
    </row>
    <row r="9" spans="1:12" ht="15.95" customHeight="1" x14ac:dyDescent="0.25">
      <c r="B9" s="679"/>
      <c r="C9" s="678"/>
      <c r="D9" s="677"/>
      <c r="E9" s="677"/>
      <c r="F9" s="453"/>
      <c r="L9" s="656"/>
    </row>
    <row r="10" spans="1:12" ht="15.95" customHeight="1" x14ac:dyDescent="0.25">
      <c r="B10" s="680" t="b">
        <f ca="1">'1a Begründung Investitionstyp'!B10</f>
        <v>0</v>
      </c>
      <c r="C10" s="676" t="str">
        <f ca="1">OFFSET(Sprachen!A153,0,'START, DÉBUT, INIZIO'!$D$4-1,1,1)</f>
        <v>Erhebliche Erweiterung (Art. 30bbis Abs. 1)</v>
      </c>
      <c r="D10" s="677"/>
      <c r="E10" s="677"/>
      <c r="F10" s="453"/>
      <c r="L10" s="656"/>
    </row>
    <row r="11" spans="1:12" ht="31.5" customHeight="1" x14ac:dyDescent="0.2">
      <c r="B11" s="678"/>
      <c r="C11" s="863" t="str">
        <f ca="1">OFFSET(Sprachen!A154,0,'START, DÉBUT, INIZIO'!$D$4-1,1,1)</f>
        <v>Die Erweiterung einer Anlage ist erheblich, wenn durch bauliche Massnahmen</v>
      </c>
      <c r="D11" s="863"/>
      <c r="E11" s="863"/>
      <c r="F11" s="453"/>
      <c r="L11" s="656"/>
    </row>
    <row r="12" spans="1:12" ht="15.95" customHeight="1" x14ac:dyDescent="0.25">
      <c r="B12" s="678"/>
      <c r="C12" s="679" t="str">
        <f ca="1">'1a Begründung Investitionstyp'!C12</f>
        <v/>
      </c>
      <c r="D12" s="678"/>
      <c r="E12" s="681"/>
      <c r="F12" s="453"/>
      <c r="L12" s="656"/>
    </row>
    <row r="13" spans="1:12" ht="15.95" customHeight="1" x14ac:dyDescent="0.2">
      <c r="B13" s="678"/>
      <c r="C13" s="680" t="b">
        <f>'1a Begründung Investitionstyp'!C13</f>
        <v>0</v>
      </c>
      <c r="D13" s="678" t="s">
        <v>1302</v>
      </c>
      <c r="E13" s="864" t="str">
        <f ca="1">OFFSET(Sprachen!A156,0,'START, DÉBUT, INIZIO'!$D$4-1,1,1)</f>
        <v>die Ausbauwassermenge aus dem bereits genutzten Gewässer um mindestens 20 Prozent erhöht wird und die erweiterte Anlage über einen Speicher verfügt, mit dessen Inhalt während sechs Volllaststunden Elektrizität produziert werden kann;</v>
      </c>
      <c r="F13" s="453"/>
      <c r="L13" s="656"/>
    </row>
    <row r="14" spans="1:12" ht="15.95" customHeight="1" x14ac:dyDescent="0.2">
      <c r="B14" s="678"/>
      <c r="C14" s="678"/>
      <c r="D14" s="678"/>
      <c r="E14" s="864"/>
      <c r="F14" s="453"/>
      <c r="L14" s="656"/>
    </row>
    <row r="15" spans="1:12" ht="30.75" customHeight="1" x14ac:dyDescent="0.2">
      <c r="B15" s="678"/>
      <c r="C15" s="678"/>
      <c r="D15" s="678"/>
      <c r="E15" s="864"/>
      <c r="F15" s="453"/>
      <c r="L15" s="656"/>
    </row>
    <row r="16" spans="1:12" ht="15.95" customHeight="1" x14ac:dyDescent="0.2">
      <c r="B16" s="678"/>
      <c r="C16" s="678"/>
      <c r="D16" s="678"/>
      <c r="E16" s="682"/>
      <c r="F16" s="453"/>
      <c r="G16" s="731" t="b">
        <v>0</v>
      </c>
      <c r="H16" s="732">
        <v>0.5</v>
      </c>
      <c r="I16" s="563" t="str">
        <f ca="1">OFFSET(Sprachen!A170,0,'START, DÉBUT, INIZIO'!$D$4-1,1,1)</f>
        <v>Normalfall</v>
      </c>
      <c r="L16" s="656"/>
    </row>
    <row r="17" spans="2:12" ht="15.95" customHeight="1" x14ac:dyDescent="0.2">
      <c r="B17" s="678"/>
      <c r="C17" s="680" t="b">
        <f>'1a Begründung Investitionstyp'!C17</f>
        <v>0</v>
      </c>
      <c r="D17" s="678" t="s">
        <v>1303</v>
      </c>
      <c r="E17" s="677" t="str">
        <f ca="1">OFFSET(Sprachen!A157,0,'START, DÉBUT, INIZIO'!$D$4-1,1,1)</f>
        <v>die mittlere Bruttofallhöhe um mindestens 10 Prozent erhöht wird;</v>
      </c>
      <c r="F17" s="453"/>
      <c r="J17" s="674"/>
      <c r="L17" s="656"/>
    </row>
    <row r="18" spans="2:12" ht="15.95" customHeight="1" x14ac:dyDescent="0.2">
      <c r="B18" s="678"/>
      <c r="C18" s="678"/>
      <c r="D18" s="678"/>
      <c r="E18" s="677"/>
      <c r="F18" s="453"/>
      <c r="I18" s="866" t="str">
        <f ca="1">OFFSET(Sprachen!A171,0,'START, DÉBUT, INIZIO'!$D$4-1,1,1)</f>
        <v>sofern mindestens 50 Prozent der zusätzlichen Produktion im Winterhalbjahr anfallen und diese Winterproduktion mindestens 5 GWh beträgt</v>
      </c>
      <c r="J18" s="866"/>
      <c r="K18" s="866"/>
      <c r="L18" s="656"/>
    </row>
    <row r="19" spans="2:12" ht="15.95" customHeight="1" x14ac:dyDescent="0.2">
      <c r="B19" s="678"/>
      <c r="C19" s="680" t="b">
        <f>'1a Begründung Investitionstyp'!C19</f>
        <v>0</v>
      </c>
      <c r="D19" s="678" t="s">
        <v>1304</v>
      </c>
      <c r="E19" s="864" t="str">
        <f ca="1">OFFSET(Sprachen!A158,0,'START, DÉBUT, INIZIO'!$D$4-1,1,1)</f>
        <v>zusätzliches Wasser im Umfang von mindestens 10 Prozent des Durchschnitts der in den letzten fünf vollen Betriebsjahren vor der Inbetriebnahme der Erweiterung genutzten Jahreswassermenge genutzt wird;</v>
      </c>
      <c r="F19" s="453"/>
      <c r="G19" s="731" t="b">
        <v>0</v>
      </c>
      <c r="H19" s="732">
        <v>0.6</v>
      </c>
      <c r="I19" s="866"/>
      <c r="J19" s="866"/>
      <c r="K19" s="866"/>
      <c r="L19" s="656"/>
    </row>
    <row r="20" spans="2:12" ht="15.95" customHeight="1" x14ac:dyDescent="0.2">
      <c r="B20" s="678"/>
      <c r="C20" s="678"/>
      <c r="D20" s="678"/>
      <c r="E20" s="864"/>
      <c r="F20" s="453"/>
      <c r="I20" s="866"/>
      <c r="J20" s="866"/>
      <c r="K20" s="866"/>
      <c r="L20" s="656"/>
    </row>
    <row r="21" spans="2:12" ht="31.5" customHeight="1" x14ac:dyDescent="0.2">
      <c r="B21" s="678"/>
      <c r="C21" s="678"/>
      <c r="D21" s="678"/>
      <c r="E21" s="864"/>
      <c r="F21" s="453"/>
      <c r="L21" s="656"/>
    </row>
    <row r="22" spans="2:12" ht="15.95" customHeight="1" x14ac:dyDescent="0.2">
      <c r="B22" s="678"/>
      <c r="C22" s="678"/>
      <c r="D22" s="678"/>
      <c r="E22" s="677"/>
      <c r="F22" s="453"/>
      <c r="G22" s="731" t="b">
        <v>0</v>
      </c>
      <c r="H22" s="732">
        <v>0.6</v>
      </c>
      <c r="I22" s="869" t="str">
        <f ca="1">OFFSET(Sprachen!A172,0,'START, DÉBUT, INIZIO'!$D$4-1,1,1)</f>
        <v>erhebliche Erweiterungen, sofern Kriterium d erfüllt ist</v>
      </c>
      <c r="J22" s="869"/>
      <c r="K22" s="869"/>
      <c r="L22" s="656"/>
    </row>
    <row r="23" spans="2:12" ht="15.95" customHeight="1" x14ac:dyDescent="0.2">
      <c r="B23" s="678"/>
      <c r="C23" s="680" t="b">
        <f>'1a Begründung Investitionstyp'!C23</f>
        <v>0</v>
      </c>
      <c r="D23" s="678" t="s">
        <v>1305</v>
      </c>
      <c r="E23" s="863" t="str">
        <f ca="1">OFFSET(Sprachen!A159,0,'START, DÉBUT, INIZIO'!$D$4-1,1,1)</f>
        <v>das nutzbare Speichervolumen sowohl um mindestens 15 Prozent als auch um 150 000 Kubikmeter vergrössert wird; oder</v>
      </c>
      <c r="F23" s="453"/>
      <c r="I23" s="869"/>
      <c r="J23" s="869"/>
      <c r="K23" s="869"/>
      <c r="L23" s="656"/>
    </row>
    <row r="24" spans="2:12" ht="15.95" customHeight="1" x14ac:dyDescent="0.2">
      <c r="B24" s="678"/>
      <c r="C24" s="678"/>
      <c r="D24" s="678"/>
      <c r="E24" s="863"/>
      <c r="F24" s="453"/>
      <c r="L24" s="656"/>
    </row>
    <row r="25" spans="2:12" ht="15.95" customHeight="1" x14ac:dyDescent="0.2">
      <c r="B25" s="678"/>
      <c r="C25" s="678"/>
      <c r="D25" s="678"/>
      <c r="E25" s="677"/>
      <c r="F25" s="453"/>
      <c r="L25" s="656"/>
    </row>
    <row r="26" spans="2:12" ht="15.95" customHeight="1" x14ac:dyDescent="0.2">
      <c r="B26" s="678"/>
      <c r="C26" s="680" t="b">
        <f>'1a Begründung Investitionstyp'!C26</f>
        <v>0</v>
      </c>
      <c r="D26" s="678" t="s">
        <v>1306</v>
      </c>
      <c r="E26" s="864" t="str">
        <f ca="1">OFFSET(Sprachen!A160,0,'START, DÉBUT, INIZIO'!$D$4-1,1,1)</f>
        <v>die durchschnittliche jährliche Nettoproduktion gegenüber dem Durchschnitt der letzten fünf vollen Betriebsjahre vor der Einreichung des Gesuchs um ei-nen Investitionsbeitrag um mindestens 20 Prozent oder 30 GWh gesteigert wird.</v>
      </c>
      <c r="F26" s="453"/>
      <c r="L26" s="656"/>
    </row>
    <row r="27" spans="2:12" ht="15.95" customHeight="1" x14ac:dyDescent="0.2">
      <c r="B27" s="678"/>
      <c r="C27" s="678"/>
      <c r="D27" s="678"/>
      <c r="E27" s="864"/>
      <c r="F27" s="453"/>
      <c r="L27" s="656"/>
    </row>
    <row r="28" spans="2:12" ht="31.5" customHeight="1" x14ac:dyDescent="0.2">
      <c r="B28" s="678"/>
      <c r="C28" s="678"/>
      <c r="D28" s="678"/>
      <c r="E28" s="864"/>
      <c r="F28" s="453"/>
      <c r="L28" s="656"/>
    </row>
    <row r="29" spans="2:12" ht="15.95" customHeight="1" x14ac:dyDescent="0.25">
      <c r="B29" s="679" t="str">
        <f ca="1">IF(COUNTIFS(B30:B62,"WAHR")&gt;1,"Nur 1 Investitionstyp auswählen","")</f>
        <v/>
      </c>
      <c r="C29" s="678"/>
      <c r="D29" s="678"/>
      <c r="E29" s="677"/>
      <c r="F29" s="453"/>
      <c r="L29" s="656"/>
    </row>
    <row r="30" spans="2:12" ht="15.95" customHeight="1" x14ac:dyDescent="0.25">
      <c r="B30" s="680" t="b">
        <f ca="1">'1a Begründung Investitionstyp'!B30</f>
        <v>0</v>
      </c>
      <c r="C30" s="676" t="str">
        <f ca="1">OFFSET(Sprachen!A161,0,'START, DÉBUT, INIZIO'!$D$4-1,1,1)</f>
        <v>Erhebliche Erneuerung (Art. 30bbis Abs, 2)</v>
      </c>
      <c r="D30" s="677"/>
      <c r="E30" s="677"/>
      <c r="F30" s="453"/>
      <c r="L30" s="656"/>
    </row>
    <row r="31" spans="2:12" ht="15.95" customHeight="1" x14ac:dyDescent="0.2">
      <c r="B31" s="678"/>
      <c r="C31" s="677" t="str">
        <f ca="1">OFFSET(Sprachen!A162,0,'START, DÉBUT, INIZIO'!$D$4-1,1,1)</f>
        <v>Die Erneuerung einer Anlage ist erheblich, wenn durch bauliche Massnahmen</v>
      </c>
      <c r="D31" s="677"/>
      <c r="E31" s="677"/>
      <c r="F31" s="453"/>
      <c r="L31" s="656"/>
    </row>
    <row r="32" spans="2:12" ht="15.95" customHeight="1" x14ac:dyDescent="0.25">
      <c r="B32" s="678"/>
      <c r="C32" s="679" t="str">
        <f ca="1">'1a Begründung Investitionstyp'!C32</f>
        <v/>
      </c>
      <c r="D32" s="678"/>
      <c r="E32" s="681"/>
      <c r="F32" s="453"/>
      <c r="G32" s="731" t="b">
        <v>0</v>
      </c>
      <c r="H32" s="732">
        <v>0.4</v>
      </c>
      <c r="I32" s="868" t="str">
        <f ca="1">OFFSET(Sprachen!A173,0,'START, DÉBUT, INIZIO'!$D$4-1,1,1)</f>
        <v>Leistung weniger als 1 MW</v>
      </c>
      <c r="J32" s="868" t="str">
        <f ca="1">OFFSET(Sprachen!B234,0,'START, DÉBUT, INIZIO'!$D$4-1,1,1)</f>
        <v>Période de décompte</v>
      </c>
      <c r="K32" s="868" t="str">
        <f ca="1">OFFSET(Sprachen!C234,0,'START, DÉBUT, INIZIO'!$D$4-1,1,1)</f>
        <v>Periodo di rendiconto</v>
      </c>
      <c r="L32" s="656"/>
    </row>
    <row r="33" spans="2:12" ht="15.95" customHeight="1" x14ac:dyDescent="0.2">
      <c r="B33" s="678"/>
      <c r="C33" s="680" t="b">
        <f>'1a Begründung Investitionstyp'!C33</f>
        <v>1</v>
      </c>
      <c r="D33" s="678" t="s">
        <v>1302</v>
      </c>
      <c r="E33" s="863" t="str">
        <f ca="1">OFFSET(Sprachen!A164,0,'START, DÉBUT, INIZIO'!$D$4-1,1,1)</f>
        <v>mindestens eine Hauptkomponente wie Wasserfassung, Zubringerpumpen, Wehr, Speicher, Druckleitung, Maschinen oder elektromechanische Ausrüstung der Anlage ersetzt oder totalsaniert wird; und</v>
      </c>
      <c r="F33" s="453"/>
      <c r="I33" s="624"/>
      <c r="J33" s="675"/>
      <c r="K33" s="624"/>
      <c r="L33" s="656"/>
    </row>
    <row r="34" spans="2:12" ht="15.95" customHeight="1" x14ac:dyDescent="0.2">
      <c r="B34" s="678"/>
      <c r="C34" s="678"/>
      <c r="D34" s="678"/>
      <c r="E34" s="863"/>
      <c r="F34" s="453"/>
      <c r="G34" s="731" t="b">
        <v>0</v>
      </c>
      <c r="H34" s="733" t="str">
        <f>IF(J34="","",(H57/100))</f>
        <v/>
      </c>
      <c r="I34" s="856" t="str">
        <f ca="1">OFFSET(Sprachen!A174,0,'START, DÉBUT, INIZIO'!$D$4-1,1,1)</f>
        <v>Leistung ab 1 bis 10 MW</v>
      </c>
      <c r="J34" s="867"/>
      <c r="K34" s="865" t="str">
        <f ca="1">OFFSET(Sprachen!A175,0,'START, DÉBUT, INIZIO'!$D$4-1,1,1)</f>
        <v>Wert eingeben</v>
      </c>
      <c r="L34" s="656"/>
    </row>
    <row r="35" spans="2:12" ht="15.95" customHeight="1" x14ac:dyDescent="0.2">
      <c r="B35" s="678"/>
      <c r="C35" s="678"/>
      <c r="D35" s="678"/>
      <c r="E35" s="863"/>
      <c r="F35" s="453"/>
      <c r="I35" s="856"/>
      <c r="J35" s="867"/>
      <c r="K35" s="865" t="str">
        <f ca="1">OFFSET(Sprachen!C237,0,'START, DÉBUT, INIZIO'!$D$4-1,1,1)</f>
        <v>Anno di scadenza della concessione</v>
      </c>
      <c r="L35" s="656"/>
    </row>
    <row r="36" spans="2:12" ht="15.95" customHeight="1" x14ac:dyDescent="0.2">
      <c r="B36" s="678"/>
      <c r="C36" s="678"/>
      <c r="D36" s="678"/>
      <c r="E36" s="863"/>
      <c r="F36" s="453"/>
      <c r="L36" s="656"/>
    </row>
    <row r="37" spans="2:12" ht="15.95" customHeight="1" x14ac:dyDescent="0.2">
      <c r="B37" s="678"/>
      <c r="C37" s="678"/>
      <c r="D37" s="678"/>
      <c r="E37" s="682"/>
      <c r="F37" s="453"/>
      <c r="G37" s="731" t="b">
        <v>0</v>
      </c>
      <c r="H37" s="732">
        <v>0.2</v>
      </c>
      <c r="I37" s="865" t="str">
        <f ca="1">OFFSET(Sprachen!A176,0,'START, DÉBUT, INIZIO'!$D$4-1,1,1)</f>
        <v>Leistung mehr als 10 MW</v>
      </c>
      <c r="L37" s="656"/>
    </row>
    <row r="38" spans="2:12" ht="15.95" customHeight="1" x14ac:dyDescent="0.2">
      <c r="B38" s="678"/>
      <c r="C38" s="680" t="b">
        <f>'1a Begründung Investitionstyp'!C38</f>
        <v>1</v>
      </c>
      <c r="D38" s="678" t="s">
        <v>1303</v>
      </c>
      <c r="E38" s="863" t="str">
        <f ca="1">OFFSET(Sprachen!A165,0,'START, DÉBUT, INIZIO'!$D$4-1,1,1)</f>
        <v>die Investition im Verhältnis zur Nettoproduktion, die innerhalb der letzten fünf vollen Betriebsjahre durchschnittlich in einem Jahr erzielt wurde, mindestens 14 Rp./kWh beträgt.</v>
      </c>
      <c r="F38" s="453"/>
      <c r="I38" s="865" t="str">
        <f ca="1">OFFSET(Sprachen!A240,0,'START, DÉBUT, INIZIO'!$D$4-1,1,1)</f>
        <v>Wasserzinskosten in CHF/kWbrutto</v>
      </c>
      <c r="L38" s="656"/>
    </row>
    <row r="39" spans="2:12" ht="15.95" customHeight="1" x14ac:dyDescent="0.2">
      <c r="B39" s="678"/>
      <c r="C39" s="678"/>
      <c r="D39" s="678"/>
      <c r="E39" s="863"/>
      <c r="F39" s="453"/>
      <c r="L39" s="656"/>
    </row>
    <row r="40" spans="2:12" ht="15.95" customHeight="1" x14ac:dyDescent="0.2">
      <c r="B40" s="678"/>
      <c r="C40" s="678"/>
      <c r="D40" s="678"/>
      <c r="E40" s="863"/>
      <c r="F40" s="453"/>
      <c r="L40" s="656"/>
    </row>
    <row r="41" spans="2:12" ht="15.95" customHeight="1" x14ac:dyDescent="0.2">
      <c r="F41" s="453"/>
    </row>
    <row r="43" spans="2:12" ht="15.95" customHeight="1" x14ac:dyDescent="0.2">
      <c r="E43" s="587" t="s">
        <v>1566</v>
      </c>
    </row>
    <row r="54" spans="5:9" ht="15.95" customHeight="1" x14ac:dyDescent="0.2">
      <c r="G54" s="563" t="s">
        <v>1311</v>
      </c>
      <c r="H54" s="563"/>
      <c r="I54" s="563"/>
    </row>
    <row r="55" spans="5:9" ht="15.95" customHeight="1" x14ac:dyDescent="0.2">
      <c r="E55" s="563" t="e" cm="1">
        <f t="array" aca="1" ref="E55" ca="1">_xlfn.IFS(B5=TRUE,OFFSET(Sprachen!A732,0,'START, DÉBUT, INIZIO'!$D$4-1,1,1),B10=TRUE,OFFSET(Sprachen!A733,0,'START, DÉBUT, INIZIO'!$D$4-1,1,1),B30,OFFSET(Sprachen!A734,0,'START, DÉBUT, INIZIO'!$D$4-1,1,1))</f>
        <v>#N/A</v>
      </c>
      <c r="G55" s="563">
        <v>0.99999000000000005</v>
      </c>
      <c r="H55" s="563">
        <v>40</v>
      </c>
      <c r="I55" s="563"/>
    </row>
    <row r="56" spans="5:9" ht="15.95" customHeight="1" x14ac:dyDescent="0.2">
      <c r="E56" s="659" t="e" cm="1">
        <f t="array" ref="E56">_xlfn.IFS(G16=TRUE,50,G19=TRUE,60,G22=TRUE,60,G32=TRUE,40,G34=TRUE,(H34*100),G37=TRUE,20)</f>
        <v>#N/A</v>
      </c>
      <c r="G56" s="563">
        <v>10.00001</v>
      </c>
      <c r="H56" s="563">
        <v>20</v>
      </c>
      <c r="I56" s="563"/>
    </row>
    <row r="57" spans="5:9" ht="15.95" customHeight="1" x14ac:dyDescent="0.2">
      <c r="G57" s="563"/>
      <c r="H57" s="563">
        <f>H55+((J34-G55)/(G56-G55))*(H56-H55)</f>
        <v>42.222195061788753</v>
      </c>
      <c r="I57" s="563"/>
    </row>
  </sheetData>
  <sheetProtection algorithmName="SHA-512" hashValue="Ll/OzfctX9Qbox2FN7oZ56g7tYQEeloH31k4MVKLTRrbjdSfwlPq1XRTEjOy8YkVSAMLLitW66dgOGIcQK4p7Q==" saltValue="aJVDmT46J6o6mxx7pOwOYw==" spinCount="100000" sheet="1" objects="1" scenarios="1"/>
  <mergeCells count="14">
    <mergeCell ref="I37:I38"/>
    <mergeCell ref="I18:K20"/>
    <mergeCell ref="I34:I35"/>
    <mergeCell ref="J34:J35"/>
    <mergeCell ref="K34:K35"/>
    <mergeCell ref="I32:K32"/>
    <mergeCell ref="I22:K23"/>
    <mergeCell ref="C11:E11"/>
    <mergeCell ref="E38:E40"/>
    <mergeCell ref="E13:E15"/>
    <mergeCell ref="E19:E21"/>
    <mergeCell ref="E23:E24"/>
    <mergeCell ref="E26:E28"/>
    <mergeCell ref="E33:E36"/>
  </mergeCells>
  <conditionalFormatting sqref="B5:E5">
    <cfRule type="expression" dxfId="355" priority="3">
      <formula>$B$5=TRUE</formula>
    </cfRule>
  </conditionalFormatting>
  <conditionalFormatting sqref="B10:E10">
    <cfRule type="expression" dxfId="354" priority="2">
      <formula>$B$10=TRUE</formula>
    </cfRule>
  </conditionalFormatting>
  <conditionalFormatting sqref="B30:E30">
    <cfRule type="expression" dxfId="353" priority="1">
      <formula>$B$30=TRUE</formula>
    </cfRule>
  </conditionalFormatting>
  <conditionalFormatting sqref="G15:H23">
    <cfRule type="expression" dxfId="352" priority="6">
      <formula>AND($B$10=FALSE,$B$5=FALSE)</formula>
    </cfRule>
  </conditionalFormatting>
  <conditionalFormatting sqref="G22:H22">
    <cfRule type="expression" dxfId="351" priority="4">
      <formula>$B$10=FALSE</formula>
    </cfRule>
  </conditionalFormatting>
  <conditionalFormatting sqref="G31:K38">
    <cfRule type="expression" dxfId="350" priority="5">
      <formula>$B$30=FALSE</formula>
    </cfRule>
  </conditionalFormatting>
  <dataValidations count="1">
    <dataValidation type="decimal" allowBlank="1" showInputMessage="1" showErrorMessage="1" sqref="J33" xr:uid="{28A1852E-EC64-4997-8D9D-1E76AE61D65D}">
      <formula1>1</formula1>
      <formula2>10</formula2>
    </dataValidation>
  </dataValidations>
  <hyperlinks>
    <hyperlink ref="K1" location="'START, DÉBUT, INIZIO'!A1" display="START / DEBUT / INIZIO" xr:uid="{67BDFC0E-2E6D-4C96-ADD0-6220ED931334}"/>
    <hyperlink ref="E43" location="'1b Beitragssatz IB'!A1" display="Seitenanfang / haut de page / inizio pagina" xr:uid="{8CFF2C2F-E5E3-4F7C-9AC1-04B3756E468D}"/>
  </hyperlinks>
  <pageMargins left="0.7" right="0.7" top="0.78740157499999996" bottom="0.78740157499999996" header="0.3" footer="0.3"/>
  <pageSetup paperSize="9" scale="5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01334-5BD0-4DAA-9FD8-768035536622}">
  <sheetPr>
    <tabColor theme="9" tint="0.59999389629810485"/>
  </sheetPr>
  <dimension ref="A1:AB161"/>
  <sheetViews>
    <sheetView showGridLines="0" zoomScaleNormal="100" workbookViewId="0">
      <selection activeCell="V55" sqref="V55"/>
    </sheetView>
  </sheetViews>
  <sheetFormatPr baseColWidth="10" defaultRowHeight="12.75" x14ac:dyDescent="0.2"/>
  <cols>
    <col min="1" max="2" width="4.85546875" customWidth="1"/>
    <col min="3" max="3" width="44.28515625" customWidth="1"/>
    <col min="4" max="4" width="25.28515625" customWidth="1"/>
    <col min="5" max="5" width="16.7109375" customWidth="1"/>
    <col min="6" max="6" width="15.42578125" customWidth="1"/>
    <col min="7" max="7" width="3.28515625" bestFit="1" customWidth="1"/>
    <col min="8" max="8" width="15.42578125" customWidth="1"/>
    <col min="9" max="9" width="4.85546875" customWidth="1"/>
    <col min="10" max="10" width="15.42578125" customWidth="1"/>
    <col min="11" max="11" width="4.42578125" customWidth="1"/>
    <col min="12" max="12" width="15.42578125" customWidth="1"/>
    <col min="13" max="13" width="3" customWidth="1"/>
    <col min="14" max="14" width="15.42578125" customWidth="1"/>
    <col min="15" max="15" width="4.42578125" customWidth="1"/>
    <col min="16" max="16" width="15.42578125" customWidth="1"/>
    <col min="17" max="17" width="3.28515625" customWidth="1"/>
    <col min="18" max="18" width="15.42578125" customWidth="1"/>
    <col min="19" max="20" width="4.7109375" customWidth="1"/>
    <col min="21" max="22" width="15.42578125" customWidth="1"/>
    <col min="23" max="23" width="3.7109375" customWidth="1"/>
    <col min="24" max="25" width="15.42578125" customWidth="1"/>
    <col min="26" max="26" width="3.85546875" customWidth="1"/>
    <col min="27" max="28" width="15.42578125" customWidth="1"/>
  </cols>
  <sheetData>
    <row r="1" spans="1:28" s="236" customFormat="1" x14ac:dyDescent="0.2">
      <c r="A1" s="508">
        <f>'START, DÉBUT, INIZIO'!$C$19</f>
        <v>0</v>
      </c>
      <c r="B1" s="508"/>
    </row>
    <row r="2" spans="1:28" s="236" customFormat="1" x14ac:dyDescent="0.2">
      <c r="A2" s="508">
        <f>'START, DÉBUT, INIZIO'!$C$20</f>
        <v>0</v>
      </c>
      <c r="B2" s="508"/>
    </row>
    <row r="3" spans="1:28" s="236" customFormat="1" ht="20.45" customHeight="1" thickBot="1" x14ac:dyDescent="0.25">
      <c r="A3" s="279">
        <f>'START, DÉBUT, INIZIO'!$C$21</f>
        <v>0</v>
      </c>
      <c r="B3" s="279"/>
      <c r="C3" s="237"/>
      <c r="D3" s="237"/>
      <c r="E3" s="237"/>
      <c r="F3" s="237"/>
      <c r="G3" s="237"/>
      <c r="H3" s="237"/>
      <c r="I3" s="237"/>
      <c r="J3" s="237"/>
      <c r="K3" s="237"/>
      <c r="L3" s="237"/>
      <c r="M3" s="237"/>
      <c r="N3" s="237"/>
      <c r="O3" s="237"/>
      <c r="P3" s="237"/>
      <c r="Q3" s="237"/>
      <c r="R3" s="237"/>
      <c r="S3" s="237"/>
      <c r="T3" s="237"/>
      <c r="U3" s="237"/>
      <c r="V3" s="237"/>
      <c r="W3" s="237"/>
      <c r="X3" s="237"/>
      <c r="Y3" s="237"/>
      <c r="Z3" s="237"/>
      <c r="AA3" s="237"/>
      <c r="AB3" s="237"/>
    </row>
    <row r="4" spans="1:28" s="514" customFormat="1" ht="25.5" customHeight="1" x14ac:dyDescent="0.2">
      <c r="A4" s="683" t="str">
        <f ca="1">OFFSET(Sprachen!A177,0,'START, DÉBUT, INIZIO'!$D$4-1,1,1)</f>
        <v>2 Technische Angaben &amp; Produktion</v>
      </c>
      <c r="B4" s="509"/>
      <c r="C4" s="509"/>
      <c r="D4" s="510"/>
      <c r="E4" s="511"/>
      <c r="F4" s="511"/>
      <c r="G4" s="511"/>
      <c r="H4" s="512"/>
      <c r="I4" s="512"/>
      <c r="J4" s="512"/>
      <c r="K4" s="512"/>
      <c r="L4" s="511"/>
      <c r="M4" s="511"/>
      <c r="N4" s="513" t="s">
        <v>1582</v>
      </c>
      <c r="O4" s="511"/>
      <c r="P4" s="510"/>
      <c r="Q4" s="510"/>
      <c r="R4" s="511"/>
      <c r="S4" s="511"/>
      <c r="T4" s="511"/>
      <c r="U4" s="510"/>
      <c r="V4" s="510"/>
      <c r="W4" s="510"/>
      <c r="X4" s="510"/>
      <c r="Y4" s="510"/>
      <c r="Z4" s="510"/>
      <c r="AA4" s="510"/>
      <c r="AB4" s="510"/>
    </row>
    <row r="5" spans="1:28" s="514" customFormat="1" ht="25.5" customHeight="1" x14ac:dyDescent="0.2">
      <c r="A5" s="734" t="str">
        <f ca="1">OFFSET(Sprachen!A5,0,'START, DÉBUT, INIZIO'!$D$4-1,1,1)</f>
        <v>Bitte füllen Sie alle blau hinterlegten Zellen aus</v>
      </c>
      <c r="B5" s="515"/>
      <c r="E5" s="440"/>
      <c r="F5" s="440"/>
      <c r="G5" s="440"/>
      <c r="H5" s="440"/>
      <c r="I5" s="440"/>
      <c r="J5" s="440"/>
      <c r="K5" s="440"/>
      <c r="L5" s="440"/>
      <c r="M5" s="440"/>
    </row>
    <row r="6" spans="1:28" s="514" customFormat="1" ht="39" customHeight="1" x14ac:dyDescent="0.2">
      <c r="B6" s="877" t="str">
        <f ca="1">OFFSET(Sprachen!A178,0,'START, DÉBUT, INIZIO'!$D$4-1,1,1)</f>
        <v>Bei Neuanlagen, die technisch und wirtschaftlich in einen bestehenden Anlagenverbund integriert sind, sind die Werte für den bestehenden Anlageverbund mit zu erfassen: "vor Investition" = bestehender Anlagenverbund; "nach Investition" = bestehender Anlageverbund plus Neuanlage. Bei nicht integrierten Neuanlagen können die Felder "vor Investition" leer gelassen werden.</v>
      </c>
      <c r="C6" s="877"/>
      <c r="D6" s="877"/>
      <c r="E6" s="877"/>
      <c r="F6" s="877"/>
      <c r="G6" s="877"/>
      <c r="H6" s="877"/>
      <c r="I6" s="440"/>
      <c r="J6" s="440"/>
      <c r="K6" s="267"/>
      <c r="L6" s="267"/>
      <c r="M6" s="267"/>
    </row>
    <row r="7" spans="1:28" s="514" customFormat="1" ht="15.95" customHeight="1" x14ac:dyDescent="0.2">
      <c r="E7" s="440"/>
      <c r="F7" s="440"/>
      <c r="G7" s="440"/>
      <c r="H7" s="440"/>
      <c r="I7" s="440"/>
      <c r="J7" s="440"/>
      <c r="K7" s="440"/>
      <c r="L7" s="440"/>
      <c r="M7" s="440"/>
    </row>
    <row r="8" spans="1:28" s="514" customFormat="1" ht="15.75" customHeight="1" x14ac:dyDescent="0.2">
      <c r="B8" s="516" t="str">
        <f ca="1">OFFSET(Sprachen!A179,0,'START, DÉBUT, INIZIO'!$D$4-1,1,1)</f>
        <v>1. Allgemeine technische Angaben</v>
      </c>
      <c r="C8" s="516"/>
      <c r="D8" s="516"/>
      <c r="E8" s="516"/>
      <c r="F8" s="516"/>
      <c r="G8" s="516"/>
      <c r="H8" s="516"/>
      <c r="I8" s="440"/>
      <c r="J8" s="440"/>
      <c r="K8" s="440"/>
      <c r="L8" s="440"/>
      <c r="M8" s="440"/>
    </row>
    <row r="9" spans="1:28" s="514" customFormat="1" ht="29.25" customHeight="1" x14ac:dyDescent="0.2">
      <c r="F9" s="517" t="str">
        <f ca="1">OFFSET(Sprachen!A180,0,'START, DÉBUT, INIZIO'!$D$4-1,1,1)</f>
        <v>vor Investition</v>
      </c>
      <c r="G9" s="517"/>
      <c r="H9" s="517" t="str">
        <f ca="1">OFFSET(Sprachen!A181,0,'START, DÉBUT, INIZIO'!$D$4-1,1,1)</f>
        <v>nach Investition</v>
      </c>
      <c r="I9" s="517"/>
      <c r="J9" s="517" t="str">
        <f ca="1">OFFSET(Sprachen!A182,0,'START, DÉBUT, INIZIO'!$D$4-1,1,1)</f>
        <v>Differenz</v>
      </c>
    </row>
    <row r="10" spans="1:28" s="514" customFormat="1" ht="15.95" customHeight="1" thickBot="1" x14ac:dyDescent="0.25">
      <c r="C10" s="440" t="str">
        <f ca="1">OFFSET(Sprachen!A183,0,'START, DÉBUT, INIZIO'!$D$4-1,1,1)</f>
        <v>Mittlere mechanische Bruttoleistung des Wassers</v>
      </c>
      <c r="E10" s="518" t="s">
        <v>1332</v>
      </c>
      <c r="F10" s="740"/>
      <c r="G10" s="519"/>
      <c r="H10" s="740"/>
      <c r="I10" s="519"/>
      <c r="J10" s="502">
        <f>H10-F10</f>
        <v>0</v>
      </c>
    </row>
    <row r="11" spans="1:28" s="514" customFormat="1" ht="15.95" customHeight="1" thickTop="1" thickBot="1" x14ac:dyDescent="0.25">
      <c r="C11" s="440" t="str">
        <f ca="1">OFFSET(Sprachen!A184,0,'START, DÉBUT, INIZIO'!$D$4-1,1,1)</f>
        <v>Installierte Leistung Turbinen</v>
      </c>
      <c r="E11" s="520" t="s">
        <v>114</v>
      </c>
      <c r="F11" s="741"/>
      <c r="G11" s="519"/>
      <c r="H11" s="741"/>
      <c r="I11" s="519"/>
      <c r="J11" s="503">
        <f>H11-F11</f>
        <v>0</v>
      </c>
    </row>
    <row r="12" spans="1:28" s="514" customFormat="1" ht="15.95" customHeight="1" thickTop="1" thickBot="1" x14ac:dyDescent="0.25">
      <c r="C12" s="440" t="str">
        <f ca="1">OFFSET(Sprachen!A185,0,'START, DÉBUT, INIZIO'!$D$4-1,1,1)</f>
        <v>Installierte Leistung Zubringerpumpen</v>
      </c>
      <c r="E12" s="520" t="s">
        <v>114</v>
      </c>
      <c r="F12" s="741"/>
      <c r="G12" s="519"/>
      <c r="H12" s="741"/>
      <c r="I12" s="519"/>
      <c r="J12" s="503">
        <f t="shared" ref="J12:J16" si="0">H12-F12</f>
        <v>0</v>
      </c>
    </row>
    <row r="13" spans="1:28" s="514" customFormat="1" ht="15.95" customHeight="1" thickTop="1" thickBot="1" x14ac:dyDescent="0.25">
      <c r="C13" s="440" t="str">
        <f ca="1">OFFSET(Sprachen!A186,0,'START, DÉBUT, INIZIO'!$D$4-1,1,1)</f>
        <v>Installierte Leistung Umwälzpumpen</v>
      </c>
      <c r="E13" s="520" t="s">
        <v>114</v>
      </c>
      <c r="F13" s="741"/>
      <c r="G13" s="519"/>
      <c r="H13" s="741"/>
      <c r="I13" s="519"/>
      <c r="J13" s="503">
        <f t="shared" si="0"/>
        <v>0</v>
      </c>
    </row>
    <row r="14" spans="1:28" s="514" customFormat="1" ht="15.95" customHeight="1" thickTop="1" thickBot="1" x14ac:dyDescent="0.25">
      <c r="C14" s="440" t="str">
        <f ca="1">OFFSET(Sprachen!A187,0,'START, DÉBUT, INIZIO'!$D$4-1,1,1)</f>
        <v>Schluckvermögen Turbinen</v>
      </c>
      <c r="E14" s="520" t="s">
        <v>1336</v>
      </c>
      <c r="F14" s="741"/>
      <c r="G14" s="519"/>
      <c r="H14" s="741"/>
      <c r="I14" s="519"/>
      <c r="J14" s="503">
        <f t="shared" si="0"/>
        <v>0</v>
      </c>
    </row>
    <row r="15" spans="1:28" s="514" customFormat="1" ht="15.95" customHeight="1" thickTop="1" thickBot="1" x14ac:dyDescent="0.25">
      <c r="C15" s="440" t="str">
        <f ca="1">OFFSET(Sprachen!A188,0,'START, DÉBUT, INIZIO'!$D$4-1,1,1)</f>
        <v>Schluckvermögen Zubringerpumpen</v>
      </c>
      <c r="E15" s="520" t="s">
        <v>1336</v>
      </c>
      <c r="F15" s="741"/>
      <c r="G15" s="519"/>
      <c r="H15" s="741"/>
      <c r="I15" s="519"/>
      <c r="J15" s="503">
        <f t="shared" si="0"/>
        <v>0</v>
      </c>
    </row>
    <row r="16" spans="1:28" s="514" customFormat="1" ht="15.95" customHeight="1" thickTop="1" thickBot="1" x14ac:dyDescent="0.25">
      <c r="C16" s="440" t="str">
        <f ca="1">OFFSET(Sprachen!A189,0,'START, DÉBUT, INIZIO'!$D$4-1,1,1)</f>
        <v>Schluckvermögen Umwälzpumpen</v>
      </c>
      <c r="E16" s="520" t="s">
        <v>1336</v>
      </c>
      <c r="F16" s="741"/>
      <c r="G16" s="519"/>
      <c r="H16" s="741"/>
      <c r="I16" s="519"/>
      <c r="J16" s="503">
        <f t="shared" si="0"/>
        <v>0</v>
      </c>
    </row>
    <row r="17" spans="1:28" s="514" customFormat="1" ht="16.5" customHeight="1" thickTop="1" thickBot="1" x14ac:dyDescent="0.25">
      <c r="C17" s="440" t="str">
        <f ca="1">OFFSET(Sprachen!A190,0,'START, DÉBUT, INIZIO'!$D$4-1,1,1)</f>
        <v>Ausbauwassermenge</v>
      </c>
      <c r="E17" s="520" t="s">
        <v>1336</v>
      </c>
      <c r="F17" s="741"/>
      <c r="G17" s="519"/>
      <c r="H17" s="741"/>
      <c r="I17" s="519"/>
      <c r="J17" s="503">
        <f t="shared" ref="J17:J22" si="1">H17-F17</f>
        <v>0</v>
      </c>
    </row>
    <row r="18" spans="1:28" s="514" customFormat="1" ht="15.95" customHeight="1" thickTop="1" thickBot="1" x14ac:dyDescent="0.25">
      <c r="C18" s="440" t="str">
        <f ca="1">OFFSET(Sprachen!A191,0,'START, DÉBUT, INIZIO'!$D$4-1,1,1)</f>
        <v>Mittlere Bruttofallhöhe</v>
      </c>
      <c r="E18" s="520" t="s">
        <v>1342</v>
      </c>
      <c r="F18" s="741"/>
      <c r="G18" s="519"/>
      <c r="H18" s="741"/>
      <c r="I18" s="519"/>
      <c r="J18" s="503">
        <f t="shared" si="1"/>
        <v>0</v>
      </c>
    </row>
    <row r="19" spans="1:28" s="514" customFormat="1" ht="15.95" customHeight="1" thickTop="1" thickBot="1" x14ac:dyDescent="0.25">
      <c r="C19" s="440" t="str">
        <f ca="1">OFFSET(Sprachen!A192,0,'START, DÉBUT, INIZIO'!$D$4-1,1,1)</f>
        <v>Mittlere Nettofallhöhe</v>
      </c>
      <c r="E19" s="520" t="s">
        <v>1342</v>
      </c>
      <c r="F19" s="741"/>
      <c r="G19" s="519"/>
      <c r="H19" s="741"/>
      <c r="I19" s="519"/>
      <c r="J19" s="503">
        <f t="shared" si="1"/>
        <v>0</v>
      </c>
    </row>
    <row r="20" spans="1:28" s="514" customFormat="1" ht="28.5" customHeight="1" thickTop="1" thickBot="1" x14ac:dyDescent="0.25">
      <c r="C20" s="877" t="str">
        <f ca="1">OFFSET(Sprachen!A193,0,'START, DÉBUT, INIZIO'!$D$4-1,1,1)</f>
        <v>Nutzwassermenge (vor Investition: Durchschnitt der letzten 5 vollen Betriebsjahre)</v>
      </c>
      <c r="D20" s="877"/>
      <c r="E20" s="520" t="s">
        <v>1344</v>
      </c>
      <c r="F20" s="742"/>
      <c r="G20" s="521"/>
      <c r="H20" s="742"/>
      <c r="I20" s="521"/>
      <c r="J20" s="504">
        <f t="shared" si="1"/>
        <v>0</v>
      </c>
    </row>
    <row r="21" spans="1:28" s="514" customFormat="1" ht="16.5" customHeight="1" thickTop="1" thickBot="1" x14ac:dyDescent="0.25">
      <c r="C21" s="440" t="str">
        <f ca="1">OFFSET(Sprachen!A194,0,'START, DÉBUT, INIZIO'!$D$4-1,1,1)</f>
        <v>Nutzbares Speichervolumen</v>
      </c>
      <c r="E21" s="520" t="s">
        <v>1346</v>
      </c>
      <c r="F21" s="742"/>
      <c r="G21" s="521"/>
      <c r="H21" s="742"/>
      <c r="I21" s="521"/>
      <c r="J21" s="504">
        <f t="shared" si="1"/>
        <v>0</v>
      </c>
    </row>
    <row r="22" spans="1:28" s="514" customFormat="1" ht="16.5" customHeight="1" thickTop="1" thickBot="1" x14ac:dyDescent="0.25">
      <c r="C22" s="440" t="str">
        <f ca="1">OFFSET(Sprachen!A195,0,'START, DÉBUT, INIZIO'!$D$4-1,1,1)</f>
        <v>Nutzbare Speicherkapazität (Energiemenge)</v>
      </c>
      <c r="E22" s="520" t="s">
        <v>9</v>
      </c>
      <c r="F22" s="741"/>
      <c r="G22" s="519"/>
      <c r="H22" s="741"/>
      <c r="I22" s="519"/>
      <c r="J22" s="503">
        <f t="shared" si="1"/>
        <v>0</v>
      </c>
    </row>
    <row r="23" spans="1:28" s="514" customFormat="1" ht="28.5" customHeight="1" thickTop="1" thickBot="1" x14ac:dyDescent="0.25">
      <c r="C23" s="877" t="str">
        <f ca="1">OFFSET(Sprachen!A197,0,'START, DÉBUT, INIZIO'!$D$4-1,1,1)</f>
        <v>Nettoproduktion (vor Investition: Durchschnitt der letzten 5 vollen Betriebsjahre)</v>
      </c>
      <c r="D23" s="877"/>
      <c r="E23" s="520" t="s">
        <v>148</v>
      </c>
      <c r="F23" s="503">
        <f>F55</f>
        <v>0</v>
      </c>
      <c r="G23" s="519"/>
      <c r="H23" s="503">
        <f>N55</f>
        <v>0</v>
      </c>
      <c r="I23" s="519"/>
      <c r="J23" s="505">
        <f>R55</f>
        <v>0</v>
      </c>
      <c r="K23" s="522"/>
      <c r="L23" s="789" t="str">
        <f ca="1">OFFSET(Sprachen!A204,0,'START, DÉBUT, INIZIO'!$D$4-1,1,1)</f>
        <v>Werte aus Abschnitt 2</v>
      </c>
    </row>
    <row r="24" spans="1:28" s="514" customFormat="1" ht="28.5" customHeight="1" thickTop="1" thickBot="1" x14ac:dyDescent="0.25">
      <c r="C24" s="877" t="str">
        <f ca="1">OFFSET(Sprachen!A198,0,'START, DÉBUT, INIZIO'!$D$4-1,1,1)</f>
        <v>Erwartete Mehrproduktion aus Investition (inkl. neue Speicherkapazität)</v>
      </c>
      <c r="D24" s="877"/>
      <c r="E24" s="520" t="s">
        <v>148</v>
      </c>
      <c r="F24" s="523"/>
      <c r="G24" s="519"/>
      <c r="H24" s="523"/>
      <c r="I24" s="519"/>
      <c r="J24" s="505">
        <f>AB55</f>
        <v>0</v>
      </c>
      <c r="K24" s="522"/>
      <c r="L24" s="789" t="str">
        <f ca="1">OFFSET(Sprachen!A204,0,'START, DÉBUT, INIZIO'!$D$4-1,1,1)</f>
        <v>Werte aus Abschnitt 2</v>
      </c>
    </row>
    <row r="25" spans="1:28" s="514" customFormat="1" ht="15.95" customHeight="1" thickTop="1" thickBot="1" x14ac:dyDescent="0.25">
      <c r="C25" s="440" t="str">
        <f ca="1">OFFSET(Sprachen!A199,0,'START, DÉBUT, INIZIO'!$D$4-1,1,1)</f>
        <v>Anteil Eigenverbrauch an der Nettoproduktion</v>
      </c>
      <c r="E25" s="520" t="s">
        <v>1339</v>
      </c>
      <c r="F25" s="743"/>
      <c r="G25" s="524"/>
      <c r="H25" s="743">
        <v>0</v>
      </c>
      <c r="I25" s="524"/>
      <c r="J25" s="506">
        <f>H25-F25</f>
        <v>0</v>
      </c>
      <c r="L25" s="525"/>
    </row>
    <row r="26" spans="1:28" s="514" customFormat="1" ht="15.95" customHeight="1" thickTop="1" x14ac:dyDescent="0.2">
      <c r="C26" s="438"/>
      <c r="E26" s="517"/>
      <c r="F26" s="521"/>
      <c r="G26" s="517"/>
      <c r="H26" s="521"/>
      <c r="I26" s="521"/>
      <c r="J26" s="526"/>
      <c r="L26" s="525"/>
    </row>
    <row r="27" spans="1:28" s="236" customFormat="1" ht="15.75" customHeight="1" x14ac:dyDescent="0.2">
      <c r="A27" s="508"/>
      <c r="B27" s="508"/>
      <c r="C27" s="522" t="str">
        <f ca="1">OFFSET(Sprachen!A200,0,'START, DÉBUT, INIZIO'!$D$4-1,1,1)</f>
        <v>Nutzbare Speicherkapazität der nicht erneuerten Anlageteile</v>
      </c>
      <c r="D27" s="463"/>
      <c r="E27" s="527" t="s">
        <v>9</v>
      </c>
      <c r="F27" s="744"/>
      <c r="G27" s="449"/>
      <c r="H27" s="745"/>
      <c r="I27" s="528"/>
      <c r="J27" s="507">
        <f ca="1">OFFSET(Sprachen!A256,0,'START, DÉBUT, INIZIO'!$D$4-1,1,1)</f>
        <v>0</v>
      </c>
      <c r="K27" s="4"/>
      <c r="L27" s="529"/>
    </row>
    <row r="28" spans="1:28" s="236" customFormat="1" ht="16.5" customHeight="1" x14ac:dyDescent="0.2">
      <c r="A28" s="508"/>
      <c r="B28" s="508"/>
      <c r="C28" s="522" t="str">
        <f ca="1">OFFSET(Sprachen!A201,0,'START, DÉBUT, INIZIO'!$D$4-1,1,1)</f>
        <v>(nur für erhebliche Erneuerngen, welche steuerbar und &gt;=3 MWbr sind, ausfüllen)</v>
      </c>
      <c r="D28" s="530"/>
      <c r="E28" s="527"/>
      <c r="F28" s="531"/>
      <c r="G28"/>
      <c r="H28" s="531"/>
      <c r="I28" s="527"/>
      <c r="J28" s="409"/>
      <c r="K28" s="4"/>
      <c r="L28"/>
    </row>
    <row r="29" spans="1:28" s="236" customFormat="1" ht="16.5" customHeight="1" x14ac:dyDescent="0.2">
      <c r="A29" s="508"/>
      <c r="B29" s="508"/>
      <c r="C29" s="463"/>
      <c r="D29" s="530"/>
      <c r="E29" s="527"/>
      <c r="F29" s="531"/>
      <c r="G29"/>
      <c r="H29" s="531"/>
      <c r="I29" s="527"/>
      <c r="J29" s="409"/>
      <c r="K29" s="4"/>
      <c r="L29"/>
    </row>
    <row r="30" spans="1:28" s="236" customFormat="1" ht="15.75" customHeight="1" x14ac:dyDescent="0.2">
      <c r="A30" s="508"/>
      <c r="B30" s="508"/>
      <c r="C30" s="522" t="str">
        <f ca="1">OFFSET(Sprachen!A202,0,'START, DÉBUT, INIZIO'!$D$4-1,1,1)</f>
        <v>Wasserzinskosten</v>
      </c>
      <c r="D30" s="530"/>
      <c r="E30" s="527" t="s">
        <v>1704</v>
      </c>
      <c r="F30" s="531"/>
      <c r="G30"/>
      <c r="H30" s="746"/>
      <c r="I30" s="527"/>
      <c r="J30" s="409"/>
      <c r="K30" s="4"/>
      <c r="L30"/>
    </row>
    <row r="31" spans="1:28" ht="27" customHeight="1" thickBot="1" x14ac:dyDescent="0.25">
      <c r="A31" s="271"/>
      <c r="B31" s="532"/>
      <c r="C31" s="759" t="str">
        <f ca="1">OFFSET(Sprachen!A203,0,'START, DÉBUT, INIZIO'!$D$4-1,1,1)</f>
        <v>(Wasserzins plus besondere kantonale Steuer gemäss Art. 49 WRG)</v>
      </c>
      <c r="D31" s="271"/>
      <c r="E31" s="271"/>
      <c r="F31" s="271"/>
      <c r="G31" s="271"/>
      <c r="H31" s="271"/>
      <c r="I31" s="271"/>
      <c r="J31" s="271"/>
      <c r="K31" s="271"/>
      <c r="L31" s="271"/>
      <c r="M31" s="271"/>
      <c r="N31" s="271"/>
      <c r="O31" s="271"/>
      <c r="P31" s="271"/>
      <c r="Q31" s="271"/>
      <c r="R31" s="271"/>
      <c r="S31" s="271"/>
      <c r="T31" s="271"/>
      <c r="U31" s="271"/>
      <c r="V31" s="271"/>
      <c r="W31" s="271"/>
      <c r="X31" s="271"/>
      <c r="Y31" s="271"/>
      <c r="Z31" s="237"/>
      <c r="AA31" s="237"/>
      <c r="AB31" s="237"/>
    </row>
    <row r="32" spans="1:28" s="514" customFormat="1" ht="15.95" customHeight="1" x14ac:dyDescent="0.2">
      <c r="E32" s="332"/>
      <c r="F32" s="332"/>
      <c r="H32" s="332"/>
      <c r="J32" s="332"/>
      <c r="L32" s="332"/>
      <c r="M32" s="332"/>
      <c r="T32" s="332"/>
    </row>
    <row r="33" spans="1:28" ht="18.75" customHeight="1" x14ac:dyDescent="0.2">
      <c r="A33" s="12"/>
      <c r="B33" s="516" t="str">
        <f ca="1">OFFSET(Sprachen!A210,0,'START, DÉBUT, INIZIO'!$D$4-1,1,1)</f>
        <v>2. Monatliche Nettoproduktion der Anlage oder des Anlagenverbunds</v>
      </c>
      <c r="C33" s="268"/>
      <c r="D33" s="268"/>
      <c r="E33" s="268"/>
      <c r="F33" s="269"/>
      <c r="G33" s="269"/>
      <c r="H33" s="269"/>
      <c r="I33" s="269"/>
      <c r="K33" s="1"/>
      <c r="L33" s="3" t="str">
        <f ca="1">OFFSET(Sprachen!A236,0,'START, DÉBUT, INIZIO'!$D$4-1,1,1)</f>
        <v>Jahr Inbetriebnahme</v>
      </c>
      <c r="N33" s="667">
        <f>'1 Allgemeines &amp; Unterschrift'!F55</f>
        <v>0</v>
      </c>
    </row>
    <row r="34" spans="1:28" ht="12" customHeight="1" x14ac:dyDescent="0.2">
      <c r="A34" s="12"/>
      <c r="C34" s="268"/>
      <c r="D34" s="268"/>
      <c r="E34" s="268"/>
      <c r="F34" s="269"/>
      <c r="G34" s="269"/>
      <c r="H34" s="269"/>
      <c r="I34" s="269"/>
      <c r="K34" s="1"/>
      <c r="L34" s="527" t="str">
        <f ca="1">OFFSET(Sprachen!A234,0,'START, DÉBUT, INIZIO'!$D$4-1,1,1)</f>
        <v>Abrechnungsperiode</v>
      </c>
      <c r="N34" s="260" t="str">
        <f ca="1">IF($A$2=DropDown!$A$7,OFFSET(Sprachen!A768,0,'START, DÉBUT, INIZIO'!$D$4-1,1,1),OFFSET(Sprachen!A767,0,'START, DÉBUT, INIZIO'!$D$4-1,1,1))</f>
        <v>Kalenderjahr</v>
      </c>
    </row>
    <row r="35" spans="1:28" x14ac:dyDescent="0.2">
      <c r="A35" s="12"/>
      <c r="B35" s="12"/>
      <c r="C35" s="1" t="str">
        <f ca="1">OFFSET(Sprachen!A258,0,'START, DÉBUT, INIZIO'!$D$4-1,1,1)</f>
        <v>Produktion netto: = Produktion, welche ins Netz eingespiesen wird  (inkl. Produktion aus gepumptem Zubringer- und Umwälz-Wasser)</v>
      </c>
      <c r="D35" s="268"/>
      <c r="E35" s="268"/>
      <c r="F35" s="269"/>
      <c r="G35" s="269"/>
      <c r="H35" s="269"/>
      <c r="I35" s="269"/>
      <c r="K35" s="1"/>
    </row>
    <row r="36" spans="1:28" x14ac:dyDescent="0.2">
      <c r="A36" s="12"/>
      <c r="B36" s="12"/>
      <c r="C36" s="268"/>
      <c r="D36" s="268"/>
      <c r="E36" s="268"/>
      <c r="F36" s="269"/>
      <c r="G36" s="269"/>
      <c r="H36" s="269"/>
      <c r="I36" s="269"/>
      <c r="K36" s="1"/>
    </row>
    <row r="37" spans="1:28" s="235" customFormat="1" ht="58.5" customHeight="1" x14ac:dyDescent="0.2">
      <c r="C37" s="270"/>
      <c r="E37" s="878" t="str">
        <f ca="1">OFFSET(Sprachen!A261,0,'START, DÉBUT, INIZIO'!$D$4-1,1,1)</f>
        <v>Mittelwert der letzten 5 Geschäftsjahre. → vor Investition</v>
      </c>
      <c r="F37" s="878"/>
      <c r="H37" s="878" t="str">
        <f ca="1">OFFSET(Sprachen!A264,0,'START, DÉBUT, INIZIO'!$D$4-1,1,1)</f>
        <v>Nur für erhebliche Erneuerung ausfüllen</v>
      </c>
      <c r="I37" s="878"/>
      <c r="J37" s="878"/>
      <c r="L37" s="878" t="str">
        <f ca="1">OFFSET(Sprachen!A265,0,'START, DÉBUT, INIZIO'!$D$4-1,1,1)</f>
        <v>Erwartete Produktion 
→ nach Investition *</v>
      </c>
      <c r="M37" s="878"/>
      <c r="N37" s="878"/>
      <c r="P37" s="878" t="str">
        <f ca="1">OFFSET(Sprachen!A266,0,'START, DÉBUT, INIZIO'!$D$4-1,1,1)</f>
        <v>Erwartete Mehrproduktion** aus Investition</v>
      </c>
      <c r="Q37" s="878"/>
      <c r="R37" s="878"/>
      <c r="T37" s="533"/>
      <c r="U37" s="878" t="str">
        <f ca="1">OFFSET(Sprachen!A267,0,'START, DÉBUT, INIZIO'!$D$4-1,1,1)</f>
        <v>Neue Speicherkapazität</v>
      </c>
      <c r="V37" s="878"/>
      <c r="X37" s="878" t="str">
        <f ca="1">OFFSET(Sprachen!A268,0,'START, DÉBUT, INIZIO'!$D$4-1,1,1)</f>
        <v>Erwartete Produktion (inkl. neue Speicherkapazität)
→ nach Investition</v>
      </c>
      <c r="Y37" s="878"/>
      <c r="AA37" s="878" t="str">
        <f ca="1">OFFSET(Sprachen!A269,0,'START, DÉBUT, INIZIO'!$D$4-1,1,1)</f>
        <v>Erwartete Mehrproduktion* aus Investition (inkl. neue Speicherkapazität)</v>
      </c>
      <c r="AB37" s="878"/>
    </row>
    <row r="38" spans="1:28" x14ac:dyDescent="0.2">
      <c r="E38" s="269"/>
      <c r="F38" s="6" t="str">
        <f ca="1">OFFSET(Sprachen!A270,0,'START, DÉBUT, INIZIO'!$D$4-1,1,1)</f>
        <v>Produktion netto</v>
      </c>
      <c r="H38" s="269"/>
      <c r="I38" s="269"/>
      <c r="J38" s="6" t="str">
        <f ca="1">F38</f>
        <v>Produktion netto</v>
      </c>
      <c r="L38" s="269"/>
      <c r="M38" s="269"/>
      <c r="N38" s="6" t="str">
        <f ca="1">F38</f>
        <v>Produktion netto</v>
      </c>
      <c r="P38" s="269"/>
      <c r="Q38" s="269"/>
      <c r="R38" s="6" t="str">
        <f ca="1">F38</f>
        <v>Produktion netto</v>
      </c>
      <c r="T38" s="534"/>
      <c r="U38" s="269"/>
      <c r="V38" s="6" t="str">
        <f ca="1">F38</f>
        <v>Produktion netto</v>
      </c>
      <c r="X38" s="269"/>
      <c r="Y38" s="6" t="str">
        <f ca="1">F38</f>
        <v>Produktion netto</v>
      </c>
      <c r="AA38" s="269"/>
      <c r="AB38" s="6" t="str">
        <f ca="1">F38</f>
        <v>Produktion netto</v>
      </c>
    </row>
    <row r="39" spans="1:28" x14ac:dyDescent="0.2">
      <c r="E39" s="269"/>
      <c r="F39" s="6" t="s">
        <v>9</v>
      </c>
      <c r="H39" s="269"/>
      <c r="I39" s="269"/>
      <c r="J39" s="6" t="s">
        <v>9</v>
      </c>
      <c r="L39" s="269"/>
      <c r="M39" s="269"/>
      <c r="N39" s="6" t="s">
        <v>9</v>
      </c>
      <c r="P39" s="269"/>
      <c r="Q39" s="269"/>
      <c r="R39" s="6" t="s">
        <v>9</v>
      </c>
      <c r="T39" s="534"/>
      <c r="U39" s="269"/>
      <c r="V39" s="6" t="s">
        <v>9</v>
      </c>
      <c r="X39" s="269"/>
      <c r="Y39" s="6" t="s">
        <v>9</v>
      </c>
      <c r="AA39" s="269"/>
      <c r="AB39" s="6" t="s">
        <v>9</v>
      </c>
    </row>
    <row r="40" spans="1:28" x14ac:dyDescent="0.2">
      <c r="D40" s="3" t="str">
        <f ca="1">IF($N$34=OFFSET(Sprachen!A768,0,'START, DÉBUT, INIZIO'!$D$4-1,1,1),$N$34,"")</f>
        <v/>
      </c>
      <c r="E40" s="3" t="str">
        <f>CONCATENATE(10,". ",Vorgaben!$C$2-6,"-",Vorgaben!$C$2-2)</f>
        <v>10. 2020-2024</v>
      </c>
      <c r="F40" s="796"/>
      <c r="H40" s="3" t="str">
        <f>CONCATENATE(10,". ",Vorgaben!$C$2-6,"-",Vorgaben!$C$2-2)</f>
        <v>10. 2020-2024</v>
      </c>
      <c r="I40" s="3"/>
      <c r="J40" s="796"/>
      <c r="L40" s="3" t="str">
        <f>CONCATENATE(10,". ",$N$33-1)</f>
        <v>10. -1</v>
      </c>
      <c r="M40" s="3"/>
      <c r="N40" s="796"/>
      <c r="P40" s="3" t="str">
        <f t="shared" ref="P40:P54" si="2">L40</f>
        <v>10. -1</v>
      </c>
      <c r="Q40" s="3"/>
      <c r="R40" s="274">
        <f t="shared" ref="R40:R54" si="3">IF(OR(AND(F40="",N40=""),AND(J40="",N40="")),0,IF($A$1="Erhebliche Erneuerung",N40-J40,N40-F40))</f>
        <v>0</v>
      </c>
      <c r="T40" s="534"/>
      <c r="U40" s="3" t="str">
        <f t="shared" ref="U40:U54" si="4">L40</f>
        <v>10. -1</v>
      </c>
      <c r="V40" s="274" t="e">
        <f ca="1">IF($A$1=DropDown!$A$4,$J$27*(R40/$R$56),$J$22*(R40/$R$56))</f>
        <v>#DIV/0!</v>
      </c>
      <c r="X40" s="3" t="str">
        <f>CONCATENATE(10,". ",$N$33-1)</f>
        <v>10. -1</v>
      </c>
      <c r="Y40" s="274" t="e">
        <f ca="1">N40+V40</f>
        <v>#DIV/0!</v>
      </c>
      <c r="AA40" s="3" t="str">
        <f t="shared" ref="AA40:AA54" si="5">P40</f>
        <v>10. -1</v>
      </c>
      <c r="AB40" s="274">
        <f t="shared" ref="AB40:AB54" si="6">IF(OR(AND(F40="",N40=""),AND(J40="",N40="")),0,IF($A$1="Erhebliche Erneuerung",N40-J40,Y40-F40))</f>
        <v>0</v>
      </c>
    </row>
    <row r="41" spans="1:28" x14ac:dyDescent="0.2">
      <c r="E41" s="3" t="str">
        <f>CONCATENATE(11,". ",Vorgaben!$C$2-6,"-",Vorgaben!$C$2-2)</f>
        <v>11. 2020-2024</v>
      </c>
      <c r="F41" s="796"/>
      <c r="H41" s="3" t="str">
        <f>CONCATENATE(11,". ",Vorgaben!$C$2-6,"-",Vorgaben!$C$2-2)</f>
        <v>11. 2020-2024</v>
      </c>
      <c r="I41" s="3"/>
      <c r="J41" s="796"/>
      <c r="L41" s="3" t="str">
        <f>CONCATENATE(11,". ",$N$33-1)</f>
        <v>11. -1</v>
      </c>
      <c r="M41" s="3"/>
      <c r="N41" s="796"/>
      <c r="P41" s="3" t="str">
        <f t="shared" si="2"/>
        <v>11. -1</v>
      </c>
      <c r="Q41" s="3"/>
      <c r="R41" s="274">
        <f t="shared" si="3"/>
        <v>0</v>
      </c>
      <c r="T41" s="534"/>
      <c r="U41" s="3" t="str">
        <f t="shared" si="4"/>
        <v>11. -1</v>
      </c>
      <c r="V41" s="274" t="e">
        <f ca="1">IF($A$1=DropDown!$A$4,$J$27*(R41/$R$56),$J$22*(R41/$R$56))</f>
        <v>#DIV/0!</v>
      </c>
      <c r="X41" s="3" t="str">
        <f>CONCATENATE(11,". ",$N$33-1)</f>
        <v>11. -1</v>
      </c>
      <c r="Y41" s="274" t="e">
        <f t="shared" ref="Y41:Y54" ca="1" si="7">N41+V41</f>
        <v>#DIV/0!</v>
      </c>
      <c r="AA41" s="3" t="str">
        <f t="shared" si="5"/>
        <v>11. -1</v>
      </c>
      <c r="AB41" s="274">
        <f t="shared" si="6"/>
        <v>0</v>
      </c>
    </row>
    <row r="42" spans="1:28" ht="13.5" thickBot="1" x14ac:dyDescent="0.25">
      <c r="E42" s="275" t="str">
        <f>CONCATENATE(12,". ",Vorgaben!$C$2-6,"-",Vorgaben!$C$2-2)</f>
        <v>12. 2020-2024</v>
      </c>
      <c r="F42" s="797"/>
      <c r="H42" s="275" t="str">
        <f>CONCATENATE(12,". ",Vorgaben!$C$2-6,"-",Vorgaben!$C$2-2)</f>
        <v>12. 2020-2024</v>
      </c>
      <c r="I42" s="275"/>
      <c r="J42" s="797"/>
      <c r="L42" s="275" t="str">
        <f>CONCATENATE(12,". ",$N$33-1)</f>
        <v>12. -1</v>
      </c>
      <c r="M42" s="275"/>
      <c r="N42" s="796"/>
      <c r="P42" s="275" t="str">
        <f t="shared" si="2"/>
        <v>12. -1</v>
      </c>
      <c r="Q42" s="275"/>
      <c r="R42" s="276">
        <f t="shared" si="3"/>
        <v>0</v>
      </c>
      <c r="T42" s="534"/>
      <c r="U42" s="275" t="str">
        <f t="shared" si="4"/>
        <v>12. -1</v>
      </c>
      <c r="V42" s="276" t="e">
        <f ca="1">IF($A$1=DropDown!$A$4,$J$27*(R42/$R$56),$J$22*(R42/$R$56))</f>
        <v>#DIV/0!</v>
      </c>
      <c r="X42" s="275" t="str">
        <f>CONCATENATE(12,". ",$N$33-1)</f>
        <v>12. -1</v>
      </c>
      <c r="Y42" s="276" t="e">
        <f t="shared" ca="1" si="7"/>
        <v>#DIV/0!</v>
      </c>
      <c r="AA42" s="275" t="str">
        <f t="shared" si="5"/>
        <v>12. -1</v>
      </c>
      <c r="AB42" s="276">
        <f t="shared" si="6"/>
        <v>0</v>
      </c>
    </row>
    <row r="43" spans="1:28" x14ac:dyDescent="0.2">
      <c r="D43" s="3" t="str">
        <f ca="1">IF($N$34=OFFSET(Sprachen!A767,0,'START, DÉBUT, INIZIO'!$D$4-1,1,1),$N$34,"")</f>
        <v>Kalenderjahr</v>
      </c>
      <c r="E43" s="3" t="str">
        <f>CONCATENATE(1,". ",Vorgaben!$C$2-5,"-",Vorgaben!$C$2-1)</f>
        <v>1. 2021-2025</v>
      </c>
      <c r="F43" s="798"/>
      <c r="H43" s="3" t="str">
        <f>CONCATENATE(1,". ",Vorgaben!$C$2-5,"-",Vorgaben!$C$2-1)</f>
        <v>1. 2021-2025</v>
      </c>
      <c r="I43" s="3"/>
      <c r="J43" s="798"/>
      <c r="L43" s="3" t="str">
        <f>CONCATENATE(1,". ",$N$33)</f>
        <v>1. 0</v>
      </c>
      <c r="M43" s="3"/>
      <c r="N43" s="796"/>
      <c r="P43" s="3" t="str">
        <f t="shared" si="2"/>
        <v>1. 0</v>
      </c>
      <c r="Q43" s="3"/>
      <c r="R43" s="277">
        <f t="shared" si="3"/>
        <v>0</v>
      </c>
      <c r="T43" s="534"/>
      <c r="U43" s="3" t="str">
        <f t="shared" si="4"/>
        <v>1. 0</v>
      </c>
      <c r="V43" s="277" t="e">
        <f ca="1">IF($A$1=DropDown!$A$4,$J$27*(R43/$R$56),$J$22*(R43/$R$56))</f>
        <v>#DIV/0!</v>
      </c>
      <c r="X43" s="3" t="str">
        <f>CONCATENATE(1,". ",$N$33)</f>
        <v>1. 0</v>
      </c>
      <c r="Y43" s="277" t="e">
        <f t="shared" ca="1" si="7"/>
        <v>#DIV/0!</v>
      </c>
      <c r="AA43" s="3" t="str">
        <f t="shared" si="5"/>
        <v>1. 0</v>
      </c>
      <c r="AB43" s="277">
        <f t="shared" si="6"/>
        <v>0</v>
      </c>
    </row>
    <row r="44" spans="1:28" x14ac:dyDescent="0.2">
      <c r="E44" s="3" t="str">
        <f>CONCATENATE(2,". ",Vorgaben!$C$2-5,"-",Vorgaben!$C$2-1)</f>
        <v>2. 2021-2025</v>
      </c>
      <c r="F44" s="796"/>
      <c r="H44" s="3" t="str">
        <f>CONCATENATE(2,". ",Vorgaben!$C$2-5,"-",Vorgaben!$C$2-1)</f>
        <v>2. 2021-2025</v>
      </c>
      <c r="I44" s="3"/>
      <c r="J44" s="796"/>
      <c r="L44" s="3" t="str">
        <f>CONCATENATE(2,". ",$N$33)</f>
        <v>2. 0</v>
      </c>
      <c r="M44" s="3"/>
      <c r="N44" s="796"/>
      <c r="P44" s="3" t="str">
        <f t="shared" si="2"/>
        <v>2. 0</v>
      </c>
      <c r="Q44" s="3"/>
      <c r="R44" s="274">
        <f t="shared" si="3"/>
        <v>0</v>
      </c>
      <c r="T44" s="534"/>
      <c r="U44" s="3" t="str">
        <f t="shared" si="4"/>
        <v>2. 0</v>
      </c>
      <c r="V44" s="274" t="e">
        <f ca="1">IF($A$1=DropDown!$A$4,$J$27*(R44/$R$56),$J$22*(R44/$R$56))</f>
        <v>#DIV/0!</v>
      </c>
      <c r="X44" s="3" t="str">
        <f>CONCATENATE(2,". ",$N$33)</f>
        <v>2. 0</v>
      </c>
      <c r="Y44" s="274" t="e">
        <f t="shared" ca="1" si="7"/>
        <v>#DIV/0!</v>
      </c>
      <c r="AA44" s="3" t="str">
        <f t="shared" si="5"/>
        <v>2. 0</v>
      </c>
      <c r="AB44" s="274">
        <f t="shared" si="6"/>
        <v>0</v>
      </c>
    </row>
    <row r="45" spans="1:28" ht="13.5" thickBot="1" x14ac:dyDescent="0.25">
      <c r="E45" s="275" t="str">
        <f>CONCATENATE(3,". ",Vorgaben!$C$2-5,"-",Vorgaben!$C$2-1)</f>
        <v>3. 2021-2025</v>
      </c>
      <c r="F45" s="797"/>
      <c r="H45" s="275" t="str">
        <f>CONCATENATE(3,". ",Vorgaben!$C$2-5,"-",Vorgaben!$C$2-1)</f>
        <v>3. 2021-2025</v>
      </c>
      <c r="I45" s="275"/>
      <c r="J45" s="797"/>
      <c r="L45" s="275" t="str">
        <f>CONCATENATE(3,". ",$N$33)</f>
        <v>3. 0</v>
      </c>
      <c r="M45" s="275"/>
      <c r="N45" s="796"/>
      <c r="P45" s="275" t="str">
        <f t="shared" si="2"/>
        <v>3. 0</v>
      </c>
      <c r="Q45" s="275"/>
      <c r="R45" s="276">
        <f t="shared" si="3"/>
        <v>0</v>
      </c>
      <c r="T45" s="534"/>
      <c r="U45" s="275" t="str">
        <f t="shared" si="4"/>
        <v>3. 0</v>
      </c>
      <c r="V45" s="276" t="e">
        <f ca="1">IF($A$1=DropDown!$A$4,$J$27*(R45/$R$56),$J$22*(R45/$R$56))</f>
        <v>#DIV/0!</v>
      </c>
      <c r="X45" s="275" t="str">
        <f>CONCATENATE(3,". ",$N$33)</f>
        <v>3. 0</v>
      </c>
      <c r="Y45" s="276" t="e">
        <f t="shared" ca="1" si="7"/>
        <v>#DIV/0!</v>
      </c>
      <c r="AA45" s="275" t="str">
        <f t="shared" si="5"/>
        <v>3. 0</v>
      </c>
      <c r="AB45" s="276">
        <f t="shared" si="6"/>
        <v>0</v>
      </c>
    </row>
    <row r="46" spans="1:28" x14ac:dyDescent="0.2">
      <c r="E46" s="3" t="str">
        <f>CONCATENATE(4,". ",Vorgaben!$C$2-5,"-",Vorgaben!$C$2-1)</f>
        <v>4. 2021-2025</v>
      </c>
      <c r="F46" s="798"/>
      <c r="H46" s="3" t="str">
        <f>CONCATENATE(4,". ",Vorgaben!$C$2-5,"-",Vorgaben!$C$2-1)</f>
        <v>4. 2021-2025</v>
      </c>
      <c r="I46" s="3"/>
      <c r="J46" s="798"/>
      <c r="L46" s="3" t="str">
        <f>CONCATENATE(4,". ",$N$33)</f>
        <v>4. 0</v>
      </c>
      <c r="M46" s="3"/>
      <c r="N46" s="796"/>
      <c r="P46" s="3" t="str">
        <f t="shared" si="2"/>
        <v>4. 0</v>
      </c>
      <c r="Q46" s="3"/>
      <c r="R46" s="277">
        <f t="shared" si="3"/>
        <v>0</v>
      </c>
      <c r="T46" s="534"/>
      <c r="U46" s="3" t="str">
        <f t="shared" si="4"/>
        <v>4. 0</v>
      </c>
      <c r="V46" s="277"/>
      <c r="X46" s="3" t="str">
        <f>CONCATENATE(4,". ",$N$33)</f>
        <v>4. 0</v>
      </c>
      <c r="Y46" s="277">
        <f t="shared" si="7"/>
        <v>0</v>
      </c>
      <c r="AA46" s="3" t="str">
        <f t="shared" si="5"/>
        <v>4. 0</v>
      </c>
      <c r="AB46" s="277">
        <f t="shared" si="6"/>
        <v>0</v>
      </c>
    </row>
    <row r="47" spans="1:28" x14ac:dyDescent="0.2">
      <c r="E47" s="3" t="str">
        <f>CONCATENATE(5,". ",Vorgaben!$C$2-5,"-",Vorgaben!$C$2-1)</f>
        <v>5. 2021-2025</v>
      </c>
      <c r="F47" s="796"/>
      <c r="H47" s="3" t="str">
        <f>CONCATENATE(5,". ",Vorgaben!$C$2-5,"-",Vorgaben!$C$2-1)</f>
        <v>5. 2021-2025</v>
      </c>
      <c r="I47" s="3"/>
      <c r="J47" s="796"/>
      <c r="L47" s="3" t="str">
        <f>CONCATENATE(5,". ",$N$33)</f>
        <v>5. 0</v>
      </c>
      <c r="M47" s="3"/>
      <c r="N47" s="796"/>
      <c r="P47" s="3" t="str">
        <f t="shared" si="2"/>
        <v>5. 0</v>
      </c>
      <c r="Q47" s="3"/>
      <c r="R47" s="274">
        <f t="shared" si="3"/>
        <v>0</v>
      </c>
      <c r="T47" s="534"/>
      <c r="U47" s="3" t="str">
        <f t="shared" si="4"/>
        <v>5. 0</v>
      </c>
      <c r="V47" s="274"/>
      <c r="X47" s="3" t="str">
        <f>CONCATENATE(5,". ",$N$33)</f>
        <v>5. 0</v>
      </c>
      <c r="Y47" s="274">
        <f t="shared" si="7"/>
        <v>0</v>
      </c>
      <c r="AA47" s="3" t="str">
        <f t="shared" si="5"/>
        <v>5. 0</v>
      </c>
      <c r="AB47" s="274">
        <f t="shared" si="6"/>
        <v>0</v>
      </c>
    </row>
    <row r="48" spans="1:28" ht="13.5" thickBot="1" x14ac:dyDescent="0.25">
      <c r="E48" s="275" t="str">
        <f>CONCATENATE(6,". ",Vorgaben!$C$2-5,"-",Vorgaben!$C$2-1)</f>
        <v>6. 2021-2025</v>
      </c>
      <c r="F48" s="797"/>
      <c r="H48" s="275" t="str">
        <f>CONCATENATE(6,". ",Vorgaben!$C$2-5,"-",Vorgaben!$C$2-1)</f>
        <v>6. 2021-2025</v>
      </c>
      <c r="I48" s="275"/>
      <c r="J48" s="797"/>
      <c r="L48" s="275" t="str">
        <f>CONCATENATE(6,". ",$N$33)</f>
        <v>6. 0</v>
      </c>
      <c r="M48" s="275"/>
      <c r="N48" s="796"/>
      <c r="P48" s="275" t="str">
        <f t="shared" si="2"/>
        <v>6. 0</v>
      </c>
      <c r="Q48" s="275"/>
      <c r="R48" s="276">
        <f t="shared" si="3"/>
        <v>0</v>
      </c>
      <c r="T48" s="534"/>
      <c r="U48" s="275" t="str">
        <f t="shared" si="4"/>
        <v>6. 0</v>
      </c>
      <c r="V48" s="276"/>
      <c r="X48" s="275" t="str">
        <f>CONCATENATE(6,". ",$N$33)</f>
        <v>6. 0</v>
      </c>
      <c r="Y48" s="276">
        <f t="shared" si="7"/>
        <v>0</v>
      </c>
      <c r="AA48" s="275" t="str">
        <f t="shared" si="5"/>
        <v>6. 0</v>
      </c>
      <c r="AB48" s="276">
        <f t="shared" si="6"/>
        <v>0</v>
      </c>
    </row>
    <row r="49" spans="1:28" x14ac:dyDescent="0.2">
      <c r="E49" s="3" t="str">
        <f>CONCATENATE(7,". ",Vorgaben!$C$2-5,"-",Vorgaben!$C$2-1)</f>
        <v>7. 2021-2025</v>
      </c>
      <c r="F49" s="798"/>
      <c r="H49" s="3" t="str">
        <f>CONCATENATE(7,". ",Vorgaben!$C$2-5,"-",Vorgaben!$C$2-1)</f>
        <v>7. 2021-2025</v>
      </c>
      <c r="I49" s="3"/>
      <c r="J49" s="798"/>
      <c r="L49" s="3" t="str">
        <f>CONCATENATE(7,". ",$N$33)</f>
        <v>7. 0</v>
      </c>
      <c r="M49" s="3"/>
      <c r="N49" s="796"/>
      <c r="P49" s="3" t="str">
        <f t="shared" si="2"/>
        <v>7. 0</v>
      </c>
      <c r="Q49" s="3"/>
      <c r="R49" s="277">
        <f t="shared" si="3"/>
        <v>0</v>
      </c>
      <c r="T49" s="534"/>
      <c r="U49" s="3" t="str">
        <f t="shared" si="4"/>
        <v>7. 0</v>
      </c>
      <c r="V49" s="277"/>
      <c r="X49" s="3" t="str">
        <f>CONCATENATE(7,". ",$N$33)</f>
        <v>7. 0</v>
      </c>
      <c r="Y49" s="277">
        <f t="shared" si="7"/>
        <v>0</v>
      </c>
      <c r="AA49" s="3" t="str">
        <f t="shared" si="5"/>
        <v>7. 0</v>
      </c>
      <c r="AB49" s="277">
        <f t="shared" si="6"/>
        <v>0</v>
      </c>
    </row>
    <row r="50" spans="1:28" x14ac:dyDescent="0.2">
      <c r="E50" s="3" t="str">
        <f>CONCATENATE(8,". ",Vorgaben!$C$2-5,"-",Vorgaben!$C$2-1)</f>
        <v>8. 2021-2025</v>
      </c>
      <c r="F50" s="796"/>
      <c r="H50" s="3" t="str">
        <f>CONCATENATE(8,". ",Vorgaben!$C$2-5,"-",Vorgaben!$C$2-1)</f>
        <v>8. 2021-2025</v>
      </c>
      <c r="I50" s="3"/>
      <c r="J50" s="796"/>
      <c r="L50" s="3" t="str">
        <f>CONCATENATE(8,". ",$N$33)</f>
        <v>8. 0</v>
      </c>
      <c r="M50" s="3"/>
      <c r="N50" s="796"/>
      <c r="P50" s="3" t="str">
        <f t="shared" si="2"/>
        <v>8. 0</v>
      </c>
      <c r="Q50" s="3"/>
      <c r="R50" s="274">
        <f t="shared" si="3"/>
        <v>0</v>
      </c>
      <c r="T50" s="534"/>
      <c r="U50" s="3" t="str">
        <f t="shared" si="4"/>
        <v>8. 0</v>
      </c>
      <c r="V50" s="274"/>
      <c r="X50" s="3" t="str">
        <f>CONCATENATE(8,". ",$N$33)</f>
        <v>8. 0</v>
      </c>
      <c r="Y50" s="274">
        <f t="shared" si="7"/>
        <v>0</v>
      </c>
      <c r="AA50" s="3" t="str">
        <f t="shared" si="5"/>
        <v>8. 0</v>
      </c>
      <c r="AB50" s="274">
        <f t="shared" si="6"/>
        <v>0</v>
      </c>
    </row>
    <row r="51" spans="1:28" ht="13.5" thickBot="1" x14ac:dyDescent="0.25">
      <c r="E51" s="275" t="str">
        <f>CONCATENATE(9,". ",Vorgaben!$C$2-5,"-",Vorgaben!$C$2-1)</f>
        <v>9. 2021-2025</v>
      </c>
      <c r="F51" s="797"/>
      <c r="H51" s="275" t="str">
        <f>CONCATENATE(9,". ",Vorgaben!$C$2-5,"-",Vorgaben!$C$2-1)</f>
        <v>9. 2021-2025</v>
      </c>
      <c r="I51" s="275"/>
      <c r="J51" s="797"/>
      <c r="L51" s="275" t="str">
        <f>CONCATENATE(9,". ",$N$33)</f>
        <v>9. 0</v>
      </c>
      <c r="M51" s="275"/>
      <c r="N51" s="796"/>
      <c r="P51" s="275" t="str">
        <f t="shared" si="2"/>
        <v>9. 0</v>
      </c>
      <c r="Q51" s="275"/>
      <c r="R51" s="276">
        <f t="shared" si="3"/>
        <v>0</v>
      </c>
      <c r="T51" s="534"/>
      <c r="U51" s="275" t="str">
        <f t="shared" si="4"/>
        <v>9. 0</v>
      </c>
      <c r="V51" s="276"/>
      <c r="X51" s="275" t="str">
        <f>CONCATENATE(9,". ",$N$33)</f>
        <v>9. 0</v>
      </c>
      <c r="Y51" s="276">
        <f t="shared" si="7"/>
        <v>0</v>
      </c>
      <c r="AA51" s="275" t="str">
        <f t="shared" si="5"/>
        <v>9. 0</v>
      </c>
      <c r="AB51" s="276">
        <f t="shared" si="6"/>
        <v>0</v>
      </c>
    </row>
    <row r="52" spans="1:28" x14ac:dyDescent="0.2">
      <c r="E52" s="3" t="str">
        <f>CONCATENATE(10,". ",Vorgaben!$C$2-5,"-",Vorgaben!$C$2-1)</f>
        <v>10. 2021-2025</v>
      </c>
      <c r="F52" s="798"/>
      <c r="H52" s="3" t="str">
        <f>CONCATENATE(10,". ",Vorgaben!$C$2-5,"-",Vorgaben!$C$2-1)</f>
        <v>10. 2021-2025</v>
      </c>
      <c r="I52" s="3"/>
      <c r="J52" s="798"/>
      <c r="L52" s="3" t="str">
        <f>CONCATENATE(10,". ",$N$33)</f>
        <v>10. 0</v>
      </c>
      <c r="M52" s="3"/>
      <c r="N52" s="796"/>
      <c r="P52" s="3" t="str">
        <f t="shared" si="2"/>
        <v>10. 0</v>
      </c>
      <c r="Q52" s="3"/>
      <c r="R52" s="277">
        <f t="shared" si="3"/>
        <v>0</v>
      </c>
      <c r="T52" s="534"/>
      <c r="U52" s="3" t="str">
        <f t="shared" si="4"/>
        <v>10. 0</v>
      </c>
      <c r="V52" s="277" t="e">
        <f ca="1">IF($A$1=DropDown!$A$4,$J$27*(R52/$R$56),$J$22*(R52/$R$56))</f>
        <v>#DIV/0!</v>
      </c>
      <c r="X52" s="3" t="str">
        <f>CONCATENATE(10,". ",$N$33)</f>
        <v>10. 0</v>
      </c>
      <c r="Y52" s="277" t="e">
        <f t="shared" ca="1" si="7"/>
        <v>#DIV/0!</v>
      </c>
      <c r="AA52" s="3" t="str">
        <f t="shared" si="5"/>
        <v>10. 0</v>
      </c>
      <c r="AB52" s="277">
        <f t="shared" si="6"/>
        <v>0</v>
      </c>
    </row>
    <row r="53" spans="1:28" x14ac:dyDescent="0.2">
      <c r="E53" s="3" t="str">
        <f>CONCATENATE(11,". ",Vorgaben!$C$2-5,"-",Vorgaben!$C$2-1)</f>
        <v>11. 2021-2025</v>
      </c>
      <c r="F53" s="796"/>
      <c r="H53" s="3" t="str">
        <f>CONCATENATE(11,". ",Vorgaben!$C$2-5,"-",Vorgaben!$C$2-1)</f>
        <v>11. 2021-2025</v>
      </c>
      <c r="I53" s="3"/>
      <c r="J53" s="796"/>
      <c r="L53" s="3" t="str">
        <f>CONCATENATE(11,". ",$N$33)</f>
        <v>11. 0</v>
      </c>
      <c r="M53" s="3"/>
      <c r="N53" s="796"/>
      <c r="P53" s="3" t="str">
        <f t="shared" si="2"/>
        <v>11. 0</v>
      </c>
      <c r="Q53" s="3"/>
      <c r="R53" s="274">
        <f t="shared" si="3"/>
        <v>0</v>
      </c>
      <c r="T53" s="534"/>
      <c r="U53" s="3" t="str">
        <f t="shared" si="4"/>
        <v>11. 0</v>
      </c>
      <c r="V53" s="274" t="e">
        <f ca="1">IF($A$1=DropDown!$A$4,$J$27*(R53/$R$56),$J$22*(R53/$R$56))</f>
        <v>#DIV/0!</v>
      </c>
      <c r="X53" s="3" t="str">
        <f>CONCATENATE(11,". ",$N$33)</f>
        <v>11. 0</v>
      </c>
      <c r="Y53" s="274" t="e">
        <f t="shared" ca="1" si="7"/>
        <v>#DIV/0!</v>
      </c>
      <c r="AA53" s="3" t="str">
        <f t="shared" si="5"/>
        <v>11. 0</v>
      </c>
      <c r="AB53" s="274">
        <f t="shared" si="6"/>
        <v>0</v>
      </c>
    </row>
    <row r="54" spans="1:28" ht="13.5" thickBot="1" x14ac:dyDescent="0.25">
      <c r="E54" s="275" t="str">
        <f>CONCATENATE(12,". ",Vorgaben!$C$2-5,"-",Vorgaben!$C$2-1)</f>
        <v>12. 2021-2025</v>
      </c>
      <c r="F54" s="797"/>
      <c r="H54" s="275" t="str">
        <f>CONCATENATE(12,". ",Vorgaben!$C$2-5,"-",Vorgaben!$C$2-1)</f>
        <v>12. 2021-2025</v>
      </c>
      <c r="I54" s="275"/>
      <c r="J54" s="797"/>
      <c r="L54" s="275" t="str">
        <f>CONCATENATE(12,". ",$N$33)</f>
        <v>12. 0</v>
      </c>
      <c r="M54" s="275"/>
      <c r="N54" s="796"/>
      <c r="P54" s="275" t="str">
        <f t="shared" si="2"/>
        <v>12. 0</v>
      </c>
      <c r="Q54" s="275"/>
      <c r="R54" s="276">
        <f t="shared" si="3"/>
        <v>0</v>
      </c>
      <c r="T54" s="534"/>
      <c r="U54" s="275" t="str">
        <f t="shared" si="4"/>
        <v>12. 0</v>
      </c>
      <c r="V54" s="276" t="e">
        <f ca="1">IF($A$1=DropDown!$A$4,$J$27*(R54/$R$56),$J$22*(R54/$R$56))</f>
        <v>#DIV/0!</v>
      </c>
      <c r="X54" s="275" t="str">
        <f>CONCATENATE(12,". ",$N$33)</f>
        <v>12. 0</v>
      </c>
      <c r="Y54" s="276" t="e">
        <f t="shared" ca="1" si="7"/>
        <v>#DIV/0!</v>
      </c>
      <c r="AA54" s="275" t="str">
        <f t="shared" si="5"/>
        <v>12. 0</v>
      </c>
      <c r="AB54" s="276">
        <f t="shared" si="6"/>
        <v>0</v>
      </c>
    </row>
    <row r="55" spans="1:28" x14ac:dyDescent="0.2">
      <c r="F55" s="273">
        <f>SUM(F40:F54)</f>
        <v>0</v>
      </c>
      <c r="J55" s="273">
        <f>SUM(J40:J54)</f>
        <v>0</v>
      </c>
      <c r="N55" s="273">
        <f>SUM(N40:N54)</f>
        <v>0</v>
      </c>
      <c r="R55" s="273">
        <f>SUM(R40:R54)</f>
        <v>0</v>
      </c>
      <c r="T55" s="534"/>
      <c r="V55" s="273" t="e">
        <f ca="1">SUM(V40:V54)</f>
        <v>#DIV/0!</v>
      </c>
      <c r="Y55" s="273" t="e">
        <f ca="1">SUM(Y40:Y54)</f>
        <v>#DIV/0!</v>
      </c>
      <c r="AB55" s="273">
        <f>SUM(AB40:AB54)</f>
        <v>0</v>
      </c>
    </row>
    <row r="56" spans="1:28" x14ac:dyDescent="0.2">
      <c r="E56" s="269"/>
      <c r="F56" s="6"/>
      <c r="H56" s="269"/>
      <c r="I56" s="269"/>
      <c r="J56" s="6"/>
      <c r="L56" s="269"/>
      <c r="M56" s="269"/>
      <c r="N56" s="6"/>
      <c r="P56" s="3"/>
      <c r="Q56" s="3"/>
      <c r="R56" s="333">
        <f ca="1">IF($A$2=DropDown!$A$7,SUM('2 Techn. Angaben &amp; Produktion'!$R$40:$R$45),SUM('2 Techn. Angaben &amp; Produktion'!$R$43:$R$45,'2 Techn. Angaben &amp; Produktion'!$R$52:$R$54))</f>
        <v>0</v>
      </c>
    </row>
    <row r="57" spans="1:28" x14ac:dyDescent="0.2">
      <c r="E57" t="str">
        <f ca="1">OFFSET(Sprachen!A271,0,'START, DÉBUT, INIZIO'!$D$4-1,1,1)</f>
        <v>* Für das ganze Jahr der Inbetriebnahme ausfüllen, auch wenn diese unterjährig erfolgt</v>
      </c>
      <c r="F57" s="6"/>
      <c r="H57" s="269"/>
      <c r="I57" s="269"/>
      <c r="J57" s="6"/>
      <c r="L57" s="269"/>
      <c r="M57" s="269"/>
      <c r="N57" s="6"/>
      <c r="P57" s="3"/>
      <c r="Q57" s="3"/>
      <c r="R57" s="333"/>
    </row>
    <row r="58" spans="1:28" x14ac:dyDescent="0.2">
      <c r="E58" t="str">
        <f ca="1">OFFSET(Sprachen!A272,0,'START, DÉBUT, INIZIO'!$D$4-1,1,1)</f>
        <v>** Die erwartete Mehrproduktion entspricht nicht der Definition der Mehrproduktion in den Vollzugsjahren. Letztere wird i.d.R. aus der Nettoproduktion und einem Prozentsatz berechnet (siehe EnFV, Anhang 6.1, Ziffer 4.3 jährliche Mehrproduktion)</v>
      </c>
    </row>
    <row r="59" spans="1:28" ht="13.5" thickBot="1" x14ac:dyDescent="0.25">
      <c r="A59" s="271"/>
      <c r="B59" s="271"/>
      <c r="C59" s="271"/>
      <c r="D59" s="271"/>
      <c r="E59" s="271"/>
      <c r="F59" s="271"/>
      <c r="G59" s="271"/>
      <c r="H59" s="271"/>
      <c r="I59" s="271"/>
      <c r="J59" s="271"/>
      <c r="K59" s="271"/>
      <c r="L59" s="271"/>
      <c r="M59" s="271"/>
      <c r="N59" s="271"/>
      <c r="O59" s="271"/>
      <c r="P59" s="271"/>
      <c r="Q59" s="271"/>
      <c r="R59" s="271"/>
      <c r="S59" s="271"/>
      <c r="T59" s="271"/>
      <c r="U59" s="271"/>
      <c r="V59" s="271"/>
      <c r="W59" s="271"/>
      <c r="X59" s="271"/>
      <c r="Y59" s="271"/>
      <c r="Z59" s="237"/>
      <c r="AA59" s="237"/>
      <c r="AB59" s="237"/>
    </row>
    <row r="60" spans="1:28" x14ac:dyDescent="0.2">
      <c r="Z60" s="236"/>
      <c r="AA60" s="236"/>
      <c r="AB60" s="236"/>
    </row>
    <row r="61" spans="1:28" ht="26.1" customHeight="1" x14ac:dyDescent="0.2">
      <c r="A61" s="12"/>
      <c r="B61" s="516" t="str">
        <f ca="1">OFFSET(Sprachen!A211,0,'START, DÉBUT, INIZIO'!$D$4-1,1,1)</f>
        <v>3. HKN-Produktion</v>
      </c>
      <c r="C61" s="268"/>
      <c r="D61" s="268"/>
      <c r="E61" s="268"/>
      <c r="F61" s="269"/>
      <c r="G61" s="269"/>
      <c r="H61" s="269"/>
      <c r="I61" s="269"/>
      <c r="K61" s="1"/>
    </row>
    <row r="62" spans="1:28" x14ac:dyDescent="0.2">
      <c r="A62" s="12"/>
      <c r="B62" s="12"/>
      <c r="C62" s="1" t="str">
        <f ca="1">OFFSET(Sprachen!A274,0,'START, DÉBUT, INIZIO'!$D$4-1,1,1)</f>
        <v>Produktion brutto: = Produktion an den Generatorklemmen (inkl. Produktion aus gepumptem Zubringer- und Umwälz-Wasser)</v>
      </c>
      <c r="D62" s="268"/>
      <c r="E62" s="268"/>
      <c r="F62" s="269"/>
      <c r="G62" s="269"/>
      <c r="H62" s="269"/>
      <c r="I62" s="269"/>
      <c r="K62" s="1"/>
    </row>
    <row r="63" spans="1:28" x14ac:dyDescent="0.2">
      <c r="A63" s="12"/>
      <c r="B63" s="12"/>
      <c r="C63" s="1" t="str">
        <f ca="1">OFFSET(Sprachen!A275,0,'START, DÉBUT, INIZIO'!$D$4-1,1,1)</f>
        <v>Produktion netto: = Produktion, welche ins Netz eingespiesen wird  (inkl. Produktion aus gepumptem Zubringer- und Umwälz-Wasser)</v>
      </c>
      <c r="D63" s="268"/>
      <c r="E63" s="268"/>
      <c r="F63" s="269"/>
      <c r="G63" s="269"/>
      <c r="H63" s="269"/>
      <c r="I63" s="269"/>
      <c r="K63" s="1"/>
    </row>
    <row r="64" spans="1:28" x14ac:dyDescent="0.2">
      <c r="A64" s="12"/>
      <c r="B64" s="12"/>
      <c r="C64" s="1" t="str">
        <f ca="1">OFFSET(Sprachen!A276,0,'START, DÉBUT, INIZIO'!$D$4-1,1,1)</f>
        <v>Produktion brutto-netto: = Verluste + Eigenbedarf*</v>
      </c>
      <c r="E64" s="268"/>
      <c r="F64" s="269"/>
      <c r="G64" s="269"/>
      <c r="H64" s="269"/>
      <c r="I64" s="269"/>
      <c r="K64" s="1"/>
    </row>
    <row r="65" spans="1:18" x14ac:dyDescent="0.2">
      <c r="A65" s="12"/>
      <c r="B65" s="12"/>
      <c r="C65" s="1" t="str">
        <f ca="1">OFFSET(Sprachen!A277,0,'START, DÉBUT, INIZIO'!$D$4-1,1,1)</f>
        <v>HKN-Produktion: = Produktionnetto - (Zubringerpumpenstrom * Pumpenwirkungsgrad) - (Umwälzpumpenstrom * Pumpenwirkungsgrad) = Nettoproduktion aus natürlichen Zuflüssen</v>
      </c>
      <c r="D65" s="268"/>
      <c r="E65" s="268"/>
      <c r="F65" s="269"/>
      <c r="G65" s="269"/>
      <c r="H65" s="269"/>
      <c r="I65" s="269"/>
      <c r="K65" s="1"/>
    </row>
    <row r="66" spans="1:18" x14ac:dyDescent="0.2">
      <c r="A66" s="12"/>
      <c r="B66" s="12"/>
      <c r="C66" s="1" t="str">
        <f ca="1">OFFSET(Sprachen!A278,0,'START, DÉBUT, INIZIO'!$D$4-1,1,1)</f>
        <v>*Eigenbedarf: Elektrische Energie, die für den unmittelbaren Betrieb der Erzeugungsanlage benötigt wird.</v>
      </c>
      <c r="D66" s="268"/>
      <c r="E66" s="268"/>
      <c r="F66" s="269"/>
      <c r="G66" s="269"/>
      <c r="H66" s="269"/>
      <c r="I66" s="269"/>
      <c r="K66" s="1"/>
    </row>
    <row r="67" spans="1:18" x14ac:dyDescent="0.2">
      <c r="A67" s="12"/>
      <c r="B67" s="12"/>
      <c r="C67" s="1"/>
      <c r="D67" s="268"/>
      <c r="E67" s="268"/>
      <c r="F67" s="269"/>
      <c r="G67" s="269"/>
      <c r="H67" s="269"/>
      <c r="I67" s="269"/>
      <c r="K67" s="1"/>
    </row>
    <row r="68" spans="1:18" s="235" customFormat="1" ht="55.5" customHeight="1" x14ac:dyDescent="0.2">
      <c r="C68" s="270"/>
      <c r="E68" s="878" t="str">
        <f ca="1">OFFSET(Sprachen!A279,0,'START, DÉBUT, INIZIO'!$D$4-1,1,1)</f>
        <v>Mittelwert der HKN-Produktion der letzten 5 Geschäftsjahre
→ vor Investition</v>
      </c>
      <c r="F68" s="878"/>
      <c r="H68" s="878" t="str">
        <f ca="1">OFFSET(Sprachen!A281,0,'START, DÉBUT, INIZIO'!$D$4-1,1,1)</f>
        <v>Nur für erhebliche Erneuerung ausfüllen</v>
      </c>
      <c r="I68" s="878"/>
      <c r="J68" s="878"/>
      <c r="L68" s="878" t="str">
        <f ca="1">OFFSET(Sprachen!A282,0,'START, DÉBUT, INIZIO'!$D$4-1,1,1)</f>
        <v>Erwartete HKN-Produktion im Inbetriebnahmejahr
→ nach Investition</v>
      </c>
      <c r="M68" s="878"/>
      <c r="N68" s="878"/>
      <c r="P68" s="878" t="str">
        <f ca="1">OFFSET(Sprachen!A283,0,'START, DÉBUT, INIZIO'!$D$4-1,1,1)</f>
        <v>Investitionsbedingte HKN-Mehrproduktion</v>
      </c>
      <c r="Q68" s="878"/>
      <c r="R68" s="878"/>
    </row>
    <row r="69" spans="1:18" x14ac:dyDescent="0.2">
      <c r="E69" s="269"/>
      <c r="F69" s="6" t="str">
        <f ca="1">F38</f>
        <v>Produktion netto</v>
      </c>
      <c r="H69" s="269"/>
      <c r="I69" s="269"/>
      <c r="J69" s="6" t="str">
        <f ca="1">F38</f>
        <v>Produktion netto</v>
      </c>
      <c r="L69" s="269"/>
      <c r="M69" s="269"/>
      <c r="N69" s="6" t="str">
        <f ca="1">F38</f>
        <v>Produktion netto</v>
      </c>
      <c r="P69" s="269"/>
      <c r="Q69" s="269"/>
      <c r="R69" s="6" t="str">
        <f ca="1">F38</f>
        <v>Produktion netto</v>
      </c>
    </row>
    <row r="70" spans="1:18" x14ac:dyDescent="0.2">
      <c r="E70" s="269"/>
      <c r="F70" s="6" t="s">
        <v>9</v>
      </c>
      <c r="H70" s="269"/>
      <c r="I70" s="269"/>
      <c r="J70" s="6" t="s">
        <v>9</v>
      </c>
      <c r="L70" s="269"/>
      <c r="M70" s="269"/>
      <c r="N70" s="6" t="s">
        <v>9</v>
      </c>
      <c r="P70" s="269"/>
      <c r="Q70" s="269"/>
      <c r="R70" s="6" t="s">
        <v>9</v>
      </c>
    </row>
    <row r="71" spans="1:18" x14ac:dyDescent="0.2">
      <c r="D71" s="3" t="str">
        <f ca="1">IF($N$34=OFFSET(Sprachen!A768,0,'START, DÉBUT, INIZIO'!$D$4-1,1,1),$N$34,"")</f>
        <v/>
      </c>
      <c r="E71" s="3" t="str">
        <f>CONCATENATE(10,". ",Vorgaben!$C$2-6,"-",Vorgaben!$C$2-2)</f>
        <v>10. 2020-2024</v>
      </c>
      <c r="F71" s="796"/>
      <c r="H71" s="3" t="str">
        <f>CONCATENATE(10,". ",Vorgaben!$C$2-6,"-",Vorgaben!$C$2-2)</f>
        <v>10. 2020-2024</v>
      </c>
      <c r="I71" s="3"/>
      <c r="J71" s="796"/>
      <c r="L71" s="3" t="str">
        <f>CONCATENATE(10,". ",$N$33-1)</f>
        <v>10. -1</v>
      </c>
      <c r="M71" s="3"/>
      <c r="N71" s="796"/>
      <c r="P71" s="3" t="str">
        <f t="shared" ref="P71:P85" si="8">L71</f>
        <v>10. -1</v>
      </c>
      <c r="Q71" s="3"/>
      <c r="R71" s="274">
        <f t="shared" ref="R71:R85" si="9">IF(OR(AND(F71="",N71=""),AND(J71="",N71="")),0,IF($A$1="Erhebliche Erneuerung",N71-J71,N71-F71))</f>
        <v>0</v>
      </c>
    </row>
    <row r="72" spans="1:18" x14ac:dyDescent="0.2">
      <c r="E72" s="3" t="str">
        <f>CONCATENATE(11,". ",Vorgaben!$C$2-6,"-",Vorgaben!$C$2-2)</f>
        <v>11. 2020-2024</v>
      </c>
      <c r="F72" s="796"/>
      <c r="H72" s="3" t="str">
        <f>CONCATENATE(11,". ",Vorgaben!$C$2-6,"-",Vorgaben!$C$2-2)</f>
        <v>11. 2020-2024</v>
      </c>
      <c r="I72" s="3"/>
      <c r="J72" s="796"/>
      <c r="L72" s="3" t="str">
        <f>CONCATENATE(11,". ",$N$33-1)</f>
        <v>11. -1</v>
      </c>
      <c r="M72" s="3"/>
      <c r="N72" s="796"/>
      <c r="P72" s="3" t="str">
        <f t="shared" si="8"/>
        <v>11. -1</v>
      </c>
      <c r="Q72" s="3"/>
      <c r="R72" s="274">
        <f t="shared" si="9"/>
        <v>0</v>
      </c>
    </row>
    <row r="73" spans="1:18" ht="13.5" thickBot="1" x14ac:dyDescent="0.25">
      <c r="E73" s="275" t="str">
        <f>CONCATENATE(12,". ",Vorgaben!$C$2-6,"-",Vorgaben!$C$2-2)</f>
        <v>12. 2020-2024</v>
      </c>
      <c r="F73" s="797"/>
      <c r="H73" s="275" t="str">
        <f>CONCATENATE(12,". ",Vorgaben!$C$2-6,"-",Vorgaben!$C$2-2)</f>
        <v>12. 2020-2024</v>
      </c>
      <c r="I73" s="275"/>
      <c r="J73" s="797"/>
      <c r="L73" s="275" t="str">
        <f>CONCATENATE(12,". ",$N$33-1)</f>
        <v>12. -1</v>
      </c>
      <c r="M73" s="275"/>
      <c r="N73" s="797"/>
      <c r="P73" s="275" t="str">
        <f t="shared" si="8"/>
        <v>12. -1</v>
      </c>
      <c r="Q73" s="275"/>
      <c r="R73" s="276">
        <f t="shared" si="9"/>
        <v>0</v>
      </c>
    </row>
    <row r="74" spans="1:18" x14ac:dyDescent="0.2">
      <c r="D74" s="3" t="str">
        <f ca="1">IF($N$34=OFFSET(Sprachen!A767,0,'START, DÉBUT, INIZIO'!$D$4-1,1,1),$N$34,"")</f>
        <v>Kalenderjahr</v>
      </c>
      <c r="E74" s="3" t="str">
        <f>CONCATENATE(1,". ",Vorgaben!$C$2-5,"-",Vorgaben!$C$2-1)</f>
        <v>1. 2021-2025</v>
      </c>
      <c r="F74" s="798"/>
      <c r="H74" s="3" t="str">
        <f>CONCATENATE(1,". ",Vorgaben!$C$2-5,"-",Vorgaben!$C$2-1)</f>
        <v>1. 2021-2025</v>
      </c>
      <c r="I74" s="3"/>
      <c r="J74" s="798"/>
      <c r="L74" s="3" t="str">
        <f>CONCATENATE(1,". ",$N$33)</f>
        <v>1. 0</v>
      </c>
      <c r="M74" s="3"/>
      <c r="N74" s="798"/>
      <c r="P74" s="3" t="str">
        <f t="shared" si="8"/>
        <v>1. 0</v>
      </c>
      <c r="Q74" s="3"/>
      <c r="R74" s="277">
        <f t="shared" si="9"/>
        <v>0</v>
      </c>
    </row>
    <row r="75" spans="1:18" x14ac:dyDescent="0.2">
      <c r="E75" s="3" t="str">
        <f>CONCATENATE(2,". ",Vorgaben!$C$2-5,"-",Vorgaben!$C$2-1)</f>
        <v>2. 2021-2025</v>
      </c>
      <c r="F75" s="796"/>
      <c r="H75" s="3" t="str">
        <f>CONCATENATE(2,". ",Vorgaben!$C$2-5,"-",Vorgaben!$C$2-1)</f>
        <v>2. 2021-2025</v>
      </c>
      <c r="I75" s="3"/>
      <c r="J75" s="796"/>
      <c r="L75" s="3" t="str">
        <f>CONCATENATE(2,". ",$N$33)</f>
        <v>2. 0</v>
      </c>
      <c r="M75" s="3"/>
      <c r="N75" s="796"/>
      <c r="P75" s="3" t="str">
        <f t="shared" si="8"/>
        <v>2. 0</v>
      </c>
      <c r="Q75" s="3"/>
      <c r="R75" s="274">
        <f t="shared" si="9"/>
        <v>0</v>
      </c>
    </row>
    <row r="76" spans="1:18" ht="13.5" thickBot="1" x14ac:dyDescent="0.25">
      <c r="E76" s="275" t="str">
        <f>CONCATENATE(3,". ",Vorgaben!$C$2-5,"-",Vorgaben!$C$2-1)</f>
        <v>3. 2021-2025</v>
      </c>
      <c r="F76" s="797"/>
      <c r="H76" s="275" t="str">
        <f>CONCATENATE(3,". ",Vorgaben!$C$2-5,"-",Vorgaben!$C$2-1)</f>
        <v>3. 2021-2025</v>
      </c>
      <c r="I76" s="275"/>
      <c r="J76" s="797"/>
      <c r="L76" s="275" t="str">
        <f>CONCATENATE(3,". ",$N$33)</f>
        <v>3. 0</v>
      </c>
      <c r="M76" s="275"/>
      <c r="N76" s="797"/>
      <c r="P76" s="275" t="str">
        <f t="shared" si="8"/>
        <v>3. 0</v>
      </c>
      <c r="Q76" s="275"/>
      <c r="R76" s="276">
        <f t="shared" si="9"/>
        <v>0</v>
      </c>
    </row>
    <row r="77" spans="1:18" x14ac:dyDescent="0.2">
      <c r="E77" s="3" t="str">
        <f>CONCATENATE(4,". ",Vorgaben!$C$2-5,"-",Vorgaben!$C$2-1)</f>
        <v>4. 2021-2025</v>
      </c>
      <c r="F77" s="798"/>
      <c r="H77" s="3" t="str">
        <f>CONCATENATE(4,". ",Vorgaben!$C$2-5,"-",Vorgaben!$C$2-1)</f>
        <v>4. 2021-2025</v>
      </c>
      <c r="I77" s="3"/>
      <c r="J77" s="798"/>
      <c r="L77" s="3" t="str">
        <f>CONCATENATE(4,". ",$N$33)</f>
        <v>4. 0</v>
      </c>
      <c r="M77" s="3"/>
      <c r="N77" s="798"/>
      <c r="P77" s="3" t="str">
        <f t="shared" si="8"/>
        <v>4. 0</v>
      </c>
      <c r="Q77" s="3"/>
      <c r="R77" s="277">
        <f t="shared" si="9"/>
        <v>0</v>
      </c>
    </row>
    <row r="78" spans="1:18" x14ac:dyDescent="0.2">
      <c r="E78" s="3" t="str">
        <f>CONCATENATE(5,". ",Vorgaben!$C$2-5,"-",Vorgaben!$C$2-1)</f>
        <v>5. 2021-2025</v>
      </c>
      <c r="F78" s="796"/>
      <c r="H78" s="3" t="str">
        <f>CONCATENATE(5,". ",Vorgaben!$C$2-5,"-",Vorgaben!$C$2-1)</f>
        <v>5. 2021-2025</v>
      </c>
      <c r="I78" s="3"/>
      <c r="J78" s="796"/>
      <c r="L78" s="3" t="str">
        <f>CONCATENATE(5,". ",$N$33)</f>
        <v>5. 0</v>
      </c>
      <c r="M78" s="3"/>
      <c r="N78" s="796"/>
      <c r="P78" s="3" t="str">
        <f t="shared" si="8"/>
        <v>5. 0</v>
      </c>
      <c r="Q78" s="3"/>
      <c r="R78" s="274">
        <f t="shared" si="9"/>
        <v>0</v>
      </c>
    </row>
    <row r="79" spans="1:18" ht="13.5" thickBot="1" x14ac:dyDescent="0.25">
      <c r="E79" s="275" t="str">
        <f>CONCATENATE(6,". ",Vorgaben!$C$2-5,"-",Vorgaben!$C$2-1)</f>
        <v>6. 2021-2025</v>
      </c>
      <c r="F79" s="797"/>
      <c r="H79" s="275" t="str">
        <f>CONCATENATE(6,". ",Vorgaben!$C$2-5,"-",Vorgaben!$C$2-1)</f>
        <v>6. 2021-2025</v>
      </c>
      <c r="I79" s="275"/>
      <c r="J79" s="797"/>
      <c r="L79" s="275" t="str">
        <f>CONCATENATE(6,". ",$N$33)</f>
        <v>6. 0</v>
      </c>
      <c r="M79" s="275"/>
      <c r="N79" s="797"/>
      <c r="P79" s="275" t="str">
        <f t="shared" si="8"/>
        <v>6. 0</v>
      </c>
      <c r="Q79" s="275"/>
      <c r="R79" s="276">
        <f t="shared" si="9"/>
        <v>0</v>
      </c>
    </row>
    <row r="80" spans="1:18" x14ac:dyDescent="0.2">
      <c r="E80" s="3" t="str">
        <f>CONCATENATE(7,". ",Vorgaben!$C$2-5,"-",Vorgaben!$C$2-1)</f>
        <v>7. 2021-2025</v>
      </c>
      <c r="F80" s="798"/>
      <c r="H80" s="3" t="str">
        <f>CONCATENATE(7,". ",Vorgaben!$C$2-5,"-",Vorgaben!$C$2-1)</f>
        <v>7. 2021-2025</v>
      </c>
      <c r="I80" s="3"/>
      <c r="J80" s="798"/>
      <c r="L80" s="3" t="str">
        <f>CONCATENATE(7,". ",$N$33)</f>
        <v>7. 0</v>
      </c>
      <c r="M80" s="3"/>
      <c r="N80" s="798"/>
      <c r="P80" s="3" t="str">
        <f t="shared" si="8"/>
        <v>7. 0</v>
      </c>
      <c r="Q80" s="3"/>
      <c r="R80" s="277">
        <f t="shared" si="9"/>
        <v>0</v>
      </c>
    </row>
    <row r="81" spans="1:28" x14ac:dyDescent="0.2">
      <c r="E81" s="3" t="str">
        <f>CONCATENATE(8,". ",Vorgaben!$C$2-5,"-",Vorgaben!$C$2-1)</f>
        <v>8. 2021-2025</v>
      </c>
      <c r="F81" s="796"/>
      <c r="H81" s="3" t="str">
        <f>CONCATENATE(8,". ",Vorgaben!$C$2-5,"-",Vorgaben!$C$2-1)</f>
        <v>8. 2021-2025</v>
      </c>
      <c r="I81" s="3"/>
      <c r="J81" s="796"/>
      <c r="L81" s="3" t="str">
        <f>CONCATENATE(8,". ",$N$33)</f>
        <v>8. 0</v>
      </c>
      <c r="M81" s="3"/>
      <c r="N81" s="796"/>
      <c r="P81" s="3" t="str">
        <f t="shared" si="8"/>
        <v>8. 0</v>
      </c>
      <c r="Q81" s="3"/>
      <c r="R81" s="274">
        <f t="shared" si="9"/>
        <v>0</v>
      </c>
    </row>
    <row r="82" spans="1:28" ht="13.5" thickBot="1" x14ac:dyDescent="0.25">
      <c r="E82" s="275" t="str">
        <f>CONCATENATE(9,". ",Vorgaben!$C$2-5,"-",Vorgaben!$C$2-1)</f>
        <v>9. 2021-2025</v>
      </c>
      <c r="F82" s="797"/>
      <c r="H82" s="275" t="str">
        <f>CONCATENATE(9,". ",Vorgaben!$C$2-5,"-",Vorgaben!$C$2-1)</f>
        <v>9. 2021-2025</v>
      </c>
      <c r="I82" s="275"/>
      <c r="J82" s="797"/>
      <c r="L82" s="275" t="str">
        <f>CONCATENATE(9,". ",$N$33)</f>
        <v>9. 0</v>
      </c>
      <c r="M82" s="275"/>
      <c r="N82" s="797"/>
      <c r="P82" s="275" t="str">
        <f t="shared" si="8"/>
        <v>9. 0</v>
      </c>
      <c r="Q82" s="275"/>
      <c r="R82" s="276">
        <f t="shared" si="9"/>
        <v>0</v>
      </c>
    </row>
    <row r="83" spans="1:28" x14ac:dyDescent="0.2">
      <c r="E83" s="3" t="str">
        <f>CONCATENATE(10,". ",Vorgaben!$C$2-5,"-",Vorgaben!$C$2-1)</f>
        <v>10. 2021-2025</v>
      </c>
      <c r="F83" s="798"/>
      <c r="H83" s="3" t="str">
        <f>CONCATENATE(10,". ",Vorgaben!$C$2-5,"-",Vorgaben!$C$2-1)</f>
        <v>10. 2021-2025</v>
      </c>
      <c r="I83" s="3"/>
      <c r="J83" s="798"/>
      <c r="L83" s="3" t="str">
        <f>CONCATENATE(10,". ",$N$33)</f>
        <v>10. 0</v>
      </c>
      <c r="M83" s="3"/>
      <c r="N83" s="798"/>
      <c r="P83" s="3" t="str">
        <f t="shared" si="8"/>
        <v>10. 0</v>
      </c>
      <c r="Q83" s="3"/>
      <c r="R83" s="277">
        <f t="shared" si="9"/>
        <v>0</v>
      </c>
    </row>
    <row r="84" spans="1:28" x14ac:dyDescent="0.2">
      <c r="E84" s="3" t="str">
        <f>CONCATENATE(11,". ",Vorgaben!$C$2-5,"-",Vorgaben!$C$2-1)</f>
        <v>11. 2021-2025</v>
      </c>
      <c r="F84" s="796"/>
      <c r="H84" s="3" t="str">
        <f>CONCATENATE(11,". ",Vorgaben!$C$2-5,"-",Vorgaben!$C$2-1)</f>
        <v>11. 2021-2025</v>
      </c>
      <c r="I84" s="3"/>
      <c r="J84" s="796"/>
      <c r="L84" s="3" t="str">
        <f>CONCATENATE(11,". ",$N$33)</f>
        <v>11. 0</v>
      </c>
      <c r="M84" s="3"/>
      <c r="N84" s="796"/>
      <c r="P84" s="3" t="str">
        <f t="shared" si="8"/>
        <v>11. 0</v>
      </c>
      <c r="Q84" s="3"/>
      <c r="R84" s="274">
        <f t="shared" si="9"/>
        <v>0</v>
      </c>
    </row>
    <row r="85" spans="1:28" ht="13.5" thickBot="1" x14ac:dyDescent="0.25">
      <c r="E85" s="275" t="str">
        <f>CONCATENATE(12,". ",Vorgaben!$C$2-5,"-",Vorgaben!$C$2-1)</f>
        <v>12. 2021-2025</v>
      </c>
      <c r="F85" s="797"/>
      <c r="H85" s="275" t="str">
        <f>CONCATENATE(12,". ",Vorgaben!$C$2-5,"-",Vorgaben!$C$2-1)</f>
        <v>12. 2021-2025</v>
      </c>
      <c r="I85" s="275"/>
      <c r="J85" s="797"/>
      <c r="L85" s="275" t="str">
        <f>CONCATENATE(12,". ",$N$33)</f>
        <v>12. 0</v>
      </c>
      <c r="M85" s="275"/>
      <c r="N85" s="797"/>
      <c r="P85" s="275" t="str">
        <f t="shared" si="8"/>
        <v>12. 0</v>
      </c>
      <c r="Q85" s="275"/>
      <c r="R85" s="276">
        <f t="shared" si="9"/>
        <v>0</v>
      </c>
    </row>
    <row r="86" spans="1:28" x14ac:dyDescent="0.2">
      <c r="F86" s="273">
        <f>SUM(F71:F85)</f>
        <v>0</v>
      </c>
      <c r="J86" s="273">
        <f>SUM(J71:J85)</f>
        <v>0</v>
      </c>
      <c r="N86" s="273">
        <f>SUM(N71:N85)</f>
        <v>0</v>
      </c>
      <c r="R86" s="273">
        <f>SUM(R71:R85)</f>
        <v>0</v>
      </c>
    </row>
    <row r="87" spans="1:28" x14ac:dyDescent="0.2">
      <c r="E87" s="269"/>
      <c r="F87" s="6"/>
      <c r="H87" s="269"/>
      <c r="I87" s="269"/>
      <c r="J87" s="6"/>
      <c r="L87" s="269"/>
      <c r="M87" s="269"/>
      <c r="N87" s="6"/>
    </row>
    <row r="88" spans="1:28" ht="13.5" thickBot="1" x14ac:dyDescent="0.25">
      <c r="A88" s="271"/>
      <c r="B88" s="271"/>
      <c r="C88" s="271"/>
      <c r="D88" s="271"/>
      <c r="E88" s="271" t="str">
        <f ca="1">OFFSET(Sprachen!A284,0,'START, DÉBUT, INIZIO'!$D$4-1,1,1)</f>
        <v>*Unter Eigenverbrauch wird der unmittelbare Verbrauch des Stroms zeitgleich mit der Produktion am Ort der Produktion oder die zeitgleiche Speicherung und der spätere Verbrauch am Ort der Produktion verstanden.</v>
      </c>
      <c r="F88" s="271"/>
      <c r="G88" s="271"/>
      <c r="H88" s="271"/>
      <c r="I88" s="271"/>
      <c r="J88" s="271"/>
      <c r="K88" s="271"/>
      <c r="L88" s="271"/>
      <c r="M88" s="271"/>
      <c r="N88" s="271"/>
      <c r="O88" s="271"/>
      <c r="P88" s="271"/>
      <c r="Q88" s="271"/>
      <c r="R88" s="271"/>
      <c r="S88" s="271"/>
      <c r="T88" s="271"/>
      <c r="U88" s="271"/>
      <c r="V88" s="271"/>
      <c r="W88" s="271"/>
      <c r="X88" s="271"/>
      <c r="Y88" s="271"/>
      <c r="Z88" s="237"/>
      <c r="AA88" s="237"/>
      <c r="AB88" s="237"/>
    </row>
    <row r="89" spans="1:28" ht="18.75" customHeight="1" x14ac:dyDescent="0.2">
      <c r="A89" s="12"/>
      <c r="B89" s="12"/>
      <c r="C89" s="268"/>
      <c r="D89" s="268"/>
      <c r="E89" s="268"/>
      <c r="F89" s="269"/>
      <c r="G89" s="269"/>
      <c r="H89" s="269"/>
      <c r="I89" s="269"/>
      <c r="K89" s="1"/>
    </row>
    <row r="90" spans="1:28" ht="15.75" x14ac:dyDescent="0.2">
      <c r="A90" s="12"/>
      <c r="B90" s="516" t="str">
        <f ca="1">OFFSET(Sprachen!A212,0,'START, DÉBUT, INIZIO'!$D$4-1,1,1)</f>
        <v>4. Zubringer-Pumpenstrom</v>
      </c>
      <c r="C90" s="1"/>
      <c r="D90" s="268"/>
      <c r="E90" s="268"/>
      <c r="F90" s="269"/>
      <c r="G90" s="269"/>
      <c r="H90" s="269"/>
      <c r="I90" s="269"/>
      <c r="K90" s="1"/>
    </row>
    <row r="91" spans="1:28" x14ac:dyDescent="0.2">
      <c r="A91" s="12"/>
      <c r="B91" s="12"/>
      <c r="C91" s="268"/>
      <c r="D91" s="268"/>
      <c r="E91" s="268"/>
      <c r="F91" s="269"/>
      <c r="G91" s="269"/>
      <c r="H91" s="269"/>
      <c r="I91" s="269"/>
      <c r="K91" s="1"/>
    </row>
    <row r="92" spans="1:28" s="235" customFormat="1" ht="66.599999999999994" customHeight="1" x14ac:dyDescent="0.2">
      <c r="B92" s="750"/>
      <c r="C92" s="270"/>
      <c r="E92" s="878" t="str">
        <f ca="1">OFFSET(Sprachen!A287,0,'START, DÉBUT, INIZIO'!$D$4-1,1,1)</f>
        <v>Mittelwert Pumpenstrom der letzten 5 Geschäftsjahre
→ vor Investition</v>
      </c>
      <c r="F92" s="878"/>
      <c r="H92" s="878" t="str">
        <f ca="1">H68</f>
        <v>Nur für erhebliche Erneuerung ausfüllen</v>
      </c>
      <c r="I92" s="878"/>
      <c r="J92" s="878"/>
      <c r="L92" s="878" t="str">
        <f ca="1">OFFSET(Sprachen!A289,0,'START, DÉBUT, INIZIO'!$D$4-1,1,1)</f>
        <v>Erwarteter Pumpenstrom im Inbetriebnahmejahr
→ nach Investition</v>
      </c>
      <c r="M92" s="878"/>
      <c r="N92" s="878"/>
      <c r="P92" s="878" t="str">
        <f ca="1">OFFSET(Sprachen!A290,0,'START, DÉBUT, INIZIO'!$D$4-1,1,1)</f>
        <v>Investitionsbedingter Pumpenstrom</v>
      </c>
      <c r="Q92" s="878"/>
      <c r="R92" s="878"/>
    </row>
    <row r="93" spans="1:28" x14ac:dyDescent="0.2">
      <c r="E93" s="269"/>
      <c r="F93" s="6" t="str">
        <f ca="1">OFFSET(Sprachen!A286,0,'START, DÉBUT, INIZIO'!$D$4-1,1,1)</f>
        <v>Verbrauch</v>
      </c>
      <c r="H93" s="269"/>
      <c r="I93" s="269"/>
      <c r="J93" s="6" t="str">
        <f ca="1">F93</f>
        <v>Verbrauch</v>
      </c>
      <c r="L93" s="269"/>
      <c r="M93" s="269"/>
      <c r="N93" s="6" t="str">
        <f ca="1">F93</f>
        <v>Verbrauch</v>
      </c>
      <c r="P93" s="269"/>
      <c r="Q93" s="269"/>
      <c r="R93" s="6" t="str">
        <f ca="1">F93</f>
        <v>Verbrauch</v>
      </c>
    </row>
    <row r="94" spans="1:28" x14ac:dyDescent="0.2">
      <c r="E94" s="269"/>
      <c r="F94" s="6" t="s">
        <v>9</v>
      </c>
      <c r="H94" s="269"/>
      <c r="I94" s="269"/>
      <c r="J94" s="6" t="s">
        <v>9</v>
      </c>
      <c r="L94" s="269"/>
      <c r="M94" s="269"/>
      <c r="N94" s="6" t="s">
        <v>9</v>
      </c>
      <c r="P94" s="269"/>
      <c r="Q94" s="269"/>
      <c r="R94" s="6" t="s">
        <v>9</v>
      </c>
    </row>
    <row r="95" spans="1:28" x14ac:dyDescent="0.2">
      <c r="D95" s="3" t="str">
        <f ca="1">IF($N$34=OFFSET(Sprachen!A768,0,'START, DÉBUT, INIZIO'!$D$4-1,1,1),$N$34,"")</f>
        <v/>
      </c>
      <c r="E95" s="3" t="str">
        <f>CONCATENATE(10,". ",Vorgaben!$C$2-6,"-",Vorgaben!$C$2-2)</f>
        <v>10. 2020-2024</v>
      </c>
      <c r="F95" s="796"/>
      <c r="H95" s="3" t="str">
        <f>CONCATENATE(10,". ",Vorgaben!$C$2-6,"-",Vorgaben!$C$2-2)</f>
        <v>10. 2020-2024</v>
      </c>
      <c r="I95" s="3"/>
      <c r="J95" s="796"/>
      <c r="L95" s="3" t="str">
        <f>CONCATENATE(10,". ",$N$33-1)</f>
        <v>10. -1</v>
      </c>
      <c r="M95" s="3"/>
      <c r="N95" s="796"/>
      <c r="P95" s="3" t="str">
        <f t="shared" ref="P95:P109" si="10">L95</f>
        <v>10. -1</v>
      </c>
      <c r="Q95" s="3"/>
      <c r="R95" s="274">
        <f t="shared" ref="R95:R109" si="11">IF(OR(AND(F95="",N95=""),AND(J95="",N95="")),0,IF($A$1="Erhebliche Erneuerung",N95-J95,N95-F95))</f>
        <v>0</v>
      </c>
    </row>
    <row r="96" spans="1:28" x14ac:dyDescent="0.2">
      <c r="E96" s="3" t="str">
        <f>CONCATENATE(11,". ",Vorgaben!$C$2-6,"-",Vorgaben!$C$2-2)</f>
        <v>11. 2020-2024</v>
      </c>
      <c r="F96" s="796"/>
      <c r="H96" s="3" t="str">
        <f>CONCATENATE(11,". ",Vorgaben!$C$2-6,"-",Vorgaben!$C$2-2)</f>
        <v>11. 2020-2024</v>
      </c>
      <c r="I96" s="3"/>
      <c r="J96" s="796"/>
      <c r="L96" s="3" t="str">
        <f>CONCATENATE(11,". ",$N$33-1)</f>
        <v>11. -1</v>
      </c>
      <c r="M96" s="3"/>
      <c r="N96" s="796"/>
      <c r="P96" s="3" t="str">
        <f t="shared" si="10"/>
        <v>11. -1</v>
      </c>
      <c r="Q96" s="3"/>
      <c r="R96" s="274">
        <f t="shared" si="11"/>
        <v>0</v>
      </c>
    </row>
    <row r="97" spans="1:28" ht="13.5" thickBot="1" x14ac:dyDescent="0.25">
      <c r="E97" s="275" t="str">
        <f>CONCATENATE(12,". ",Vorgaben!$C$2-6,"-",Vorgaben!$C$2-2)</f>
        <v>12. 2020-2024</v>
      </c>
      <c r="F97" s="797"/>
      <c r="H97" s="275" t="str">
        <f>CONCATENATE(12,". ",Vorgaben!$C$2-6,"-",Vorgaben!$C$2-2)</f>
        <v>12. 2020-2024</v>
      </c>
      <c r="I97" s="275"/>
      <c r="J97" s="797"/>
      <c r="L97" s="275" t="str">
        <f>CONCATENATE(12,". ",$N$33-1)</f>
        <v>12. -1</v>
      </c>
      <c r="M97" s="275"/>
      <c r="N97" s="797"/>
      <c r="P97" s="275" t="str">
        <f t="shared" si="10"/>
        <v>12. -1</v>
      </c>
      <c r="Q97" s="275"/>
      <c r="R97" s="276">
        <f t="shared" si="11"/>
        <v>0</v>
      </c>
    </row>
    <row r="98" spans="1:28" x14ac:dyDescent="0.2">
      <c r="D98" s="3" t="str">
        <f ca="1">IF($N$34=OFFSET(Sprachen!A767,0,'START, DÉBUT, INIZIO'!$D$4-1,1,1),$N$34,"")</f>
        <v>Kalenderjahr</v>
      </c>
      <c r="E98" s="3" t="str">
        <f>CONCATENATE(1,". ",Vorgaben!$C$2-5,"-",Vorgaben!$C$2-1)</f>
        <v>1. 2021-2025</v>
      </c>
      <c r="F98" s="798"/>
      <c r="H98" s="3" t="str">
        <f>CONCATENATE(1,". ",Vorgaben!$C$2-5,"-",Vorgaben!$C$2-1)</f>
        <v>1. 2021-2025</v>
      </c>
      <c r="I98" s="3"/>
      <c r="J98" s="798"/>
      <c r="L98" s="3" t="str">
        <f>CONCATENATE(1,". ",$N$33)</f>
        <v>1. 0</v>
      </c>
      <c r="M98" s="3"/>
      <c r="N98" s="798"/>
      <c r="P98" s="3" t="str">
        <f t="shared" si="10"/>
        <v>1. 0</v>
      </c>
      <c r="Q98" s="3"/>
      <c r="R98" s="277">
        <f t="shared" si="11"/>
        <v>0</v>
      </c>
    </row>
    <row r="99" spans="1:28" x14ac:dyDescent="0.2">
      <c r="E99" s="3" t="str">
        <f>CONCATENATE(2,". ",Vorgaben!$C$2-5,"-",Vorgaben!$C$2-1)</f>
        <v>2. 2021-2025</v>
      </c>
      <c r="F99" s="796"/>
      <c r="H99" s="3" t="str">
        <f>CONCATENATE(2,". ",Vorgaben!$C$2-5,"-",Vorgaben!$C$2-1)</f>
        <v>2. 2021-2025</v>
      </c>
      <c r="I99" s="3"/>
      <c r="J99" s="796"/>
      <c r="L99" s="3" t="str">
        <f>CONCATENATE(2,". ",$N$33)</f>
        <v>2. 0</v>
      </c>
      <c r="M99" s="3"/>
      <c r="N99" s="796"/>
      <c r="P99" s="3" t="str">
        <f t="shared" si="10"/>
        <v>2. 0</v>
      </c>
      <c r="Q99" s="3"/>
      <c r="R99" s="274">
        <f t="shared" si="11"/>
        <v>0</v>
      </c>
    </row>
    <row r="100" spans="1:28" ht="13.5" thickBot="1" x14ac:dyDescent="0.25">
      <c r="E100" s="275" t="str">
        <f>CONCATENATE(3,". ",Vorgaben!$C$2-5,"-",Vorgaben!$C$2-1)</f>
        <v>3. 2021-2025</v>
      </c>
      <c r="F100" s="797"/>
      <c r="H100" s="275" t="str">
        <f>CONCATENATE(3,". ",Vorgaben!$C$2-5,"-",Vorgaben!$C$2-1)</f>
        <v>3. 2021-2025</v>
      </c>
      <c r="I100" s="275"/>
      <c r="J100" s="797"/>
      <c r="L100" s="275" t="str">
        <f>CONCATENATE(3,". ",$N$33)</f>
        <v>3. 0</v>
      </c>
      <c r="M100" s="275"/>
      <c r="N100" s="797"/>
      <c r="P100" s="275" t="str">
        <f t="shared" si="10"/>
        <v>3. 0</v>
      </c>
      <c r="Q100" s="275"/>
      <c r="R100" s="276">
        <f t="shared" si="11"/>
        <v>0</v>
      </c>
    </row>
    <row r="101" spans="1:28" x14ac:dyDescent="0.2">
      <c r="E101" s="3" t="str">
        <f>CONCATENATE(4,". ",Vorgaben!$C$2-5,"-",Vorgaben!$C$2-1)</f>
        <v>4. 2021-2025</v>
      </c>
      <c r="F101" s="798"/>
      <c r="H101" s="3" t="str">
        <f>CONCATENATE(4,". ",Vorgaben!$C$2-5,"-",Vorgaben!$C$2-1)</f>
        <v>4. 2021-2025</v>
      </c>
      <c r="I101" s="3"/>
      <c r="J101" s="798"/>
      <c r="L101" s="3" t="str">
        <f>CONCATENATE(4,". ",$N$33)</f>
        <v>4. 0</v>
      </c>
      <c r="M101" s="3"/>
      <c r="N101" s="798"/>
      <c r="P101" s="3" t="str">
        <f t="shared" si="10"/>
        <v>4. 0</v>
      </c>
      <c r="Q101" s="3"/>
      <c r="R101" s="277">
        <f t="shared" si="11"/>
        <v>0</v>
      </c>
    </row>
    <row r="102" spans="1:28" x14ac:dyDescent="0.2">
      <c r="E102" s="3" t="str">
        <f>CONCATENATE(5,". ",Vorgaben!$C$2-5,"-",Vorgaben!$C$2-1)</f>
        <v>5. 2021-2025</v>
      </c>
      <c r="F102" s="796"/>
      <c r="H102" s="3" t="str">
        <f>CONCATENATE(5,". ",Vorgaben!$C$2-5,"-",Vorgaben!$C$2-1)</f>
        <v>5. 2021-2025</v>
      </c>
      <c r="I102" s="3"/>
      <c r="J102" s="796"/>
      <c r="L102" s="3" t="str">
        <f>CONCATENATE(5,". ",$N$33)</f>
        <v>5. 0</v>
      </c>
      <c r="M102" s="3"/>
      <c r="N102" s="796"/>
      <c r="P102" s="3" t="str">
        <f t="shared" si="10"/>
        <v>5. 0</v>
      </c>
      <c r="Q102" s="3"/>
      <c r="R102" s="274">
        <f t="shared" si="11"/>
        <v>0</v>
      </c>
    </row>
    <row r="103" spans="1:28" ht="13.5" thickBot="1" x14ac:dyDescent="0.25">
      <c r="E103" s="275" t="str">
        <f>CONCATENATE(6,". ",Vorgaben!$C$2-5,"-",Vorgaben!$C$2-1)</f>
        <v>6. 2021-2025</v>
      </c>
      <c r="F103" s="797"/>
      <c r="H103" s="275" t="str">
        <f>CONCATENATE(6,". ",Vorgaben!$C$2-5,"-",Vorgaben!$C$2-1)</f>
        <v>6. 2021-2025</v>
      </c>
      <c r="I103" s="275"/>
      <c r="J103" s="797"/>
      <c r="L103" s="275" t="str">
        <f>CONCATENATE(6,". ",$N$33)</f>
        <v>6. 0</v>
      </c>
      <c r="M103" s="275"/>
      <c r="N103" s="797"/>
      <c r="P103" s="275" t="str">
        <f t="shared" si="10"/>
        <v>6. 0</v>
      </c>
      <c r="Q103" s="275"/>
      <c r="R103" s="276">
        <f t="shared" si="11"/>
        <v>0</v>
      </c>
    </row>
    <row r="104" spans="1:28" x14ac:dyDescent="0.2">
      <c r="E104" s="3" t="str">
        <f>CONCATENATE(7,". ",Vorgaben!$C$2-5,"-",Vorgaben!$C$2-1)</f>
        <v>7. 2021-2025</v>
      </c>
      <c r="F104" s="798"/>
      <c r="H104" s="3" t="str">
        <f>CONCATENATE(7,". ",Vorgaben!$C$2-5,"-",Vorgaben!$C$2-1)</f>
        <v>7. 2021-2025</v>
      </c>
      <c r="I104" s="3"/>
      <c r="J104" s="798"/>
      <c r="L104" s="3" t="str">
        <f>CONCATENATE(7,". ",$N$33)</f>
        <v>7. 0</v>
      </c>
      <c r="M104" s="3"/>
      <c r="N104" s="798"/>
      <c r="P104" s="3" t="str">
        <f t="shared" si="10"/>
        <v>7. 0</v>
      </c>
      <c r="Q104" s="3"/>
      <c r="R104" s="277">
        <f t="shared" si="11"/>
        <v>0</v>
      </c>
    </row>
    <row r="105" spans="1:28" x14ac:dyDescent="0.2">
      <c r="E105" s="3" t="str">
        <f>CONCATENATE(8,". ",Vorgaben!$C$2-5,"-",Vorgaben!$C$2-1)</f>
        <v>8. 2021-2025</v>
      </c>
      <c r="F105" s="796"/>
      <c r="H105" s="3" t="str">
        <f>CONCATENATE(8,". ",Vorgaben!$C$2-5,"-",Vorgaben!$C$2-1)</f>
        <v>8. 2021-2025</v>
      </c>
      <c r="I105" s="3"/>
      <c r="J105" s="796"/>
      <c r="L105" s="3" t="str">
        <f>CONCATENATE(8,". ",$N$33)</f>
        <v>8. 0</v>
      </c>
      <c r="M105" s="3"/>
      <c r="N105" s="796"/>
      <c r="P105" s="3" t="str">
        <f t="shared" si="10"/>
        <v>8. 0</v>
      </c>
      <c r="Q105" s="3"/>
      <c r="R105" s="274">
        <f t="shared" si="11"/>
        <v>0</v>
      </c>
    </row>
    <row r="106" spans="1:28" ht="13.5" thickBot="1" x14ac:dyDescent="0.25">
      <c r="E106" s="275" t="str">
        <f>CONCATENATE(9,". ",Vorgaben!$C$2-5,"-",Vorgaben!$C$2-1)</f>
        <v>9. 2021-2025</v>
      </c>
      <c r="F106" s="797"/>
      <c r="H106" s="275" t="str">
        <f>CONCATENATE(9,". ",Vorgaben!$C$2-5,"-",Vorgaben!$C$2-1)</f>
        <v>9. 2021-2025</v>
      </c>
      <c r="I106" s="275"/>
      <c r="J106" s="797"/>
      <c r="L106" s="275" t="str">
        <f>CONCATENATE(9,". ",$N$33)</f>
        <v>9. 0</v>
      </c>
      <c r="M106" s="275"/>
      <c r="N106" s="797"/>
      <c r="P106" s="275" t="str">
        <f t="shared" si="10"/>
        <v>9. 0</v>
      </c>
      <c r="Q106" s="275"/>
      <c r="R106" s="276">
        <f t="shared" si="11"/>
        <v>0</v>
      </c>
    </row>
    <row r="107" spans="1:28" x14ac:dyDescent="0.2">
      <c r="E107" s="3" t="str">
        <f>CONCATENATE(10,". ",Vorgaben!$C$2-5,"-",Vorgaben!$C$2-1)</f>
        <v>10. 2021-2025</v>
      </c>
      <c r="F107" s="798"/>
      <c r="H107" s="3" t="str">
        <f>CONCATENATE(10,". ",Vorgaben!$C$2-5,"-",Vorgaben!$C$2-1)</f>
        <v>10. 2021-2025</v>
      </c>
      <c r="I107" s="3"/>
      <c r="J107" s="798"/>
      <c r="L107" s="3" t="str">
        <f>CONCATENATE(10,". ",$N$33)</f>
        <v>10. 0</v>
      </c>
      <c r="M107" s="3"/>
      <c r="N107" s="798"/>
      <c r="P107" s="3" t="str">
        <f t="shared" si="10"/>
        <v>10. 0</v>
      </c>
      <c r="Q107" s="3"/>
      <c r="R107" s="277">
        <f t="shared" si="11"/>
        <v>0</v>
      </c>
    </row>
    <row r="108" spans="1:28" x14ac:dyDescent="0.2">
      <c r="E108" s="3" t="str">
        <f>CONCATENATE(11,". ",Vorgaben!$C$2-5,"-",Vorgaben!$C$2-1)</f>
        <v>11. 2021-2025</v>
      </c>
      <c r="F108" s="796"/>
      <c r="H108" s="3" t="str">
        <f>CONCATENATE(11,". ",Vorgaben!$C$2-5,"-",Vorgaben!$C$2-1)</f>
        <v>11. 2021-2025</v>
      </c>
      <c r="I108" s="3"/>
      <c r="J108" s="796"/>
      <c r="L108" s="3" t="str">
        <f>CONCATENATE(11,". ",$N$33)</f>
        <v>11. 0</v>
      </c>
      <c r="M108" s="3"/>
      <c r="N108" s="796"/>
      <c r="P108" s="3" t="str">
        <f t="shared" si="10"/>
        <v>11. 0</v>
      </c>
      <c r="Q108" s="3"/>
      <c r="R108" s="274">
        <f t="shared" si="11"/>
        <v>0</v>
      </c>
    </row>
    <row r="109" spans="1:28" ht="13.5" thickBot="1" x14ac:dyDescent="0.25">
      <c r="E109" s="275" t="str">
        <f>CONCATENATE(12,". ",Vorgaben!$C$2-5,"-",Vorgaben!$C$2-1)</f>
        <v>12. 2021-2025</v>
      </c>
      <c r="F109" s="797"/>
      <c r="H109" s="275" t="str">
        <f>CONCATENATE(12,". ",Vorgaben!$C$2-5,"-",Vorgaben!$C$2-1)</f>
        <v>12. 2021-2025</v>
      </c>
      <c r="I109" s="275"/>
      <c r="J109" s="797"/>
      <c r="L109" s="275" t="str">
        <f>CONCATENATE(12,". ",$N$33)</f>
        <v>12. 0</v>
      </c>
      <c r="M109" s="275"/>
      <c r="N109" s="797"/>
      <c r="P109" s="275" t="str">
        <f t="shared" si="10"/>
        <v>12. 0</v>
      </c>
      <c r="Q109" s="275"/>
      <c r="R109" s="276">
        <f t="shared" si="11"/>
        <v>0</v>
      </c>
    </row>
    <row r="110" spans="1:28" x14ac:dyDescent="0.2">
      <c r="F110" s="273">
        <f>SUM(F95:F109)</f>
        <v>0</v>
      </c>
      <c r="J110" s="273">
        <f>SUM(J95:J109)</f>
        <v>0</v>
      </c>
      <c r="N110" s="273">
        <f>SUM(N95:N109)</f>
        <v>0</v>
      </c>
      <c r="R110" s="273">
        <f>SUM(R95:R109)</f>
        <v>0</v>
      </c>
    </row>
    <row r="111" spans="1:28" x14ac:dyDescent="0.2">
      <c r="E111" s="269"/>
      <c r="F111" s="6"/>
      <c r="H111" s="269"/>
      <c r="I111" s="269"/>
      <c r="J111" s="6"/>
      <c r="L111" s="269"/>
      <c r="M111" s="269"/>
      <c r="N111" s="6"/>
    </row>
    <row r="112" spans="1:28" ht="13.5" thickBot="1" x14ac:dyDescent="0.25">
      <c r="A112" s="271"/>
      <c r="B112" s="271"/>
      <c r="C112" s="271"/>
      <c r="D112" s="271"/>
      <c r="E112" s="271"/>
      <c r="F112" s="271"/>
      <c r="G112" s="271"/>
      <c r="H112" s="271"/>
      <c r="I112" s="271"/>
      <c r="J112" s="271"/>
      <c r="K112" s="271"/>
      <c r="L112" s="271"/>
      <c r="M112" s="271"/>
      <c r="N112" s="271"/>
      <c r="O112" s="271"/>
      <c r="P112" s="271"/>
      <c r="Q112" s="271"/>
      <c r="R112" s="271"/>
      <c r="S112" s="271"/>
      <c r="T112" s="271"/>
      <c r="U112" s="271"/>
      <c r="V112" s="271"/>
      <c r="W112" s="271"/>
      <c r="X112" s="271"/>
      <c r="Y112" s="271"/>
      <c r="Z112" s="237"/>
      <c r="AA112" s="237"/>
      <c r="AB112" s="237"/>
    </row>
    <row r="113" spans="1:28" x14ac:dyDescent="0.2">
      <c r="Z113" s="236"/>
      <c r="AA113" s="236"/>
      <c r="AB113" s="236"/>
    </row>
    <row r="114" spans="1:28" ht="15.75" x14ac:dyDescent="0.2">
      <c r="B114" s="516" t="str">
        <f ca="1">OFFSET(Sprachen!A213,0,'START, DÉBUT, INIZIO'!$D$4-1,1,1)</f>
        <v>5. Umwälz-Pumpenstrom</v>
      </c>
      <c r="Z114" s="236"/>
      <c r="AA114" s="236"/>
      <c r="AB114" s="236"/>
    </row>
    <row r="115" spans="1:28" ht="17.25" customHeight="1" x14ac:dyDescent="0.2">
      <c r="A115" s="12"/>
      <c r="C115" s="268"/>
      <c r="D115" s="268"/>
      <c r="E115" s="268"/>
      <c r="F115" s="269"/>
      <c r="G115" s="269"/>
      <c r="H115" s="269"/>
      <c r="I115" s="269"/>
      <c r="K115" s="1"/>
    </row>
    <row r="116" spans="1:28" x14ac:dyDescent="0.2">
      <c r="A116" s="12"/>
      <c r="B116" s="12"/>
      <c r="C116" s="1" t="str">
        <f ca="1">OFFSET(Sprachen!A292,0,'START, DÉBUT, INIZIO'!$D$4-1,1,1)</f>
        <v>Der Umwälzpumpenstrom kann nur gefördert werden, wenn die die Anlage nicht überwiegend dem Umwälzbetrieb dient (vgl. Art. 29a Abs. 3 Bst. d EnG)</v>
      </c>
      <c r="D116" s="268"/>
      <c r="E116" s="268"/>
      <c r="F116" s="269"/>
      <c r="G116" s="269"/>
      <c r="H116" s="269"/>
      <c r="I116" s="269"/>
      <c r="K116" s="1"/>
    </row>
    <row r="117" spans="1:28" x14ac:dyDescent="0.2">
      <c r="A117" s="12"/>
      <c r="B117" s="12"/>
      <c r="C117" s="535"/>
      <c r="D117" s="268"/>
      <c r="E117" s="268"/>
      <c r="F117" s="269"/>
      <c r="G117" s="269"/>
      <c r="H117" s="269"/>
      <c r="I117" s="269"/>
      <c r="K117" s="1"/>
    </row>
    <row r="118" spans="1:28" s="235" customFormat="1" ht="66.599999999999994" customHeight="1" x14ac:dyDescent="0.2">
      <c r="C118" s="270"/>
      <c r="E118" s="878" t="str">
        <f ca="1">E92</f>
        <v>Mittelwert Pumpenstrom der letzten 5 Geschäftsjahre
→ vor Investition</v>
      </c>
      <c r="F118" s="878"/>
      <c r="H118" s="878" t="str">
        <f ca="1">H92</f>
        <v>Nur für erhebliche Erneuerung ausfüllen</v>
      </c>
      <c r="I118" s="878"/>
      <c r="J118" s="878"/>
      <c r="L118" s="878" t="str">
        <f ca="1">L92</f>
        <v>Erwarteter Pumpenstrom im Inbetriebnahmejahr
→ nach Investition</v>
      </c>
      <c r="M118" s="878"/>
      <c r="N118" s="878"/>
      <c r="P118" s="878" t="str">
        <f ca="1">P92</f>
        <v>Investitionsbedingter Pumpenstrom</v>
      </c>
      <c r="Q118" s="878"/>
      <c r="R118" s="878"/>
    </row>
    <row r="119" spans="1:28" x14ac:dyDescent="0.2">
      <c r="E119" s="269"/>
      <c r="F119" s="6" t="str">
        <f ca="1">F93</f>
        <v>Verbrauch</v>
      </c>
      <c r="H119" s="269"/>
      <c r="I119" s="269"/>
      <c r="J119" s="6" t="str">
        <f ca="1">F93</f>
        <v>Verbrauch</v>
      </c>
      <c r="L119" s="269"/>
      <c r="M119" s="269"/>
      <c r="N119" s="6" t="str">
        <f ca="1">F93</f>
        <v>Verbrauch</v>
      </c>
      <c r="P119" s="269"/>
      <c r="Q119" s="269"/>
      <c r="R119" s="6" t="str">
        <f ca="1">F93</f>
        <v>Verbrauch</v>
      </c>
    </row>
    <row r="120" spans="1:28" x14ac:dyDescent="0.2">
      <c r="E120" s="269"/>
      <c r="F120" s="6" t="s">
        <v>9</v>
      </c>
      <c r="H120" s="269"/>
      <c r="I120" s="269"/>
      <c r="J120" s="6" t="s">
        <v>9</v>
      </c>
      <c r="L120" s="269"/>
      <c r="M120" s="269"/>
      <c r="N120" s="6" t="s">
        <v>9</v>
      </c>
      <c r="P120" s="269"/>
      <c r="Q120" s="269"/>
      <c r="R120" s="6" t="s">
        <v>9</v>
      </c>
    </row>
    <row r="121" spans="1:28" x14ac:dyDescent="0.2">
      <c r="C121" s="529"/>
      <c r="D121" s="3" t="str">
        <f ca="1">IF($N$34=OFFSET(Sprachen!A768,0,'START, DÉBUT, INIZIO'!$D$4-1,1,1),$N$34,"")</f>
        <v/>
      </c>
      <c r="E121" s="3" t="str">
        <f>CONCATENATE(10,". ",Vorgaben!$C$2-6,"-",Vorgaben!$C$2-2)</f>
        <v>10. 2020-2024</v>
      </c>
      <c r="F121" s="796"/>
      <c r="H121" s="3" t="str">
        <f>CONCATENATE(10,". ",Vorgaben!$C$2-6,"-",Vorgaben!$C$2-2)</f>
        <v>10. 2020-2024</v>
      </c>
      <c r="I121" s="3"/>
      <c r="J121" s="796"/>
      <c r="L121" s="3" t="str">
        <f>CONCATENATE(10,". ",$N$33-1)</f>
        <v>10. -1</v>
      </c>
      <c r="M121" s="3"/>
      <c r="N121" s="796"/>
      <c r="P121" s="3" t="str">
        <f t="shared" ref="P121:P135" si="12">L121</f>
        <v>10. -1</v>
      </c>
      <c r="Q121" s="3"/>
      <c r="R121" s="274">
        <f t="shared" ref="R121:R135" si="13">IF(OR(AND(F121="",N121=""),AND(J121="",N121="")),0,IF($A$1="Erhebliche Erneuerung",N121-J121,N121-F121))</f>
        <v>0</v>
      </c>
    </row>
    <row r="122" spans="1:28" x14ac:dyDescent="0.2">
      <c r="E122" s="3" t="str">
        <f>CONCATENATE(11,". ",Vorgaben!$C$2-6,"-",Vorgaben!$C$2-2)</f>
        <v>11. 2020-2024</v>
      </c>
      <c r="F122" s="796"/>
      <c r="H122" s="3" t="str">
        <f>CONCATENATE(11,". ",Vorgaben!$C$2-6,"-",Vorgaben!$C$2-2)</f>
        <v>11. 2020-2024</v>
      </c>
      <c r="I122" s="3"/>
      <c r="J122" s="796"/>
      <c r="L122" s="3" t="str">
        <f>CONCATENATE(11,". ",$N$33-1)</f>
        <v>11. -1</v>
      </c>
      <c r="M122" s="3"/>
      <c r="N122" s="796"/>
      <c r="P122" s="3" t="str">
        <f t="shared" si="12"/>
        <v>11. -1</v>
      </c>
      <c r="Q122" s="3"/>
      <c r="R122" s="274">
        <f t="shared" si="13"/>
        <v>0</v>
      </c>
    </row>
    <row r="123" spans="1:28" ht="13.5" thickBot="1" x14ac:dyDescent="0.25">
      <c r="E123" s="275" t="str">
        <f>CONCATENATE(12,". ",Vorgaben!$C$2-6,"-",Vorgaben!$C$2-2)</f>
        <v>12. 2020-2024</v>
      </c>
      <c r="F123" s="797"/>
      <c r="H123" s="275" t="str">
        <f>CONCATENATE(12,". ",Vorgaben!$C$2-6,"-",Vorgaben!$C$2-2)</f>
        <v>12. 2020-2024</v>
      </c>
      <c r="I123" s="275"/>
      <c r="J123" s="797"/>
      <c r="L123" s="275" t="str">
        <f>CONCATENATE(12,". ",$N$33-1)</f>
        <v>12. -1</v>
      </c>
      <c r="M123" s="275"/>
      <c r="N123" s="797"/>
      <c r="P123" s="275" t="str">
        <f t="shared" si="12"/>
        <v>12. -1</v>
      </c>
      <c r="Q123" s="275"/>
      <c r="R123" s="276">
        <f t="shared" si="13"/>
        <v>0</v>
      </c>
    </row>
    <row r="124" spans="1:28" x14ac:dyDescent="0.2">
      <c r="D124" s="3" t="str">
        <f ca="1">IF($N$34=OFFSET(Sprachen!A767,0,'START, DÉBUT, INIZIO'!$D$4-1,1,1),$N$34,"")</f>
        <v>Kalenderjahr</v>
      </c>
      <c r="E124" s="3" t="str">
        <f>CONCATENATE(1,". ",Vorgaben!$C$2-5,"-",Vorgaben!$C$2-1)</f>
        <v>1. 2021-2025</v>
      </c>
      <c r="F124" s="798"/>
      <c r="H124" s="3" t="str">
        <f>CONCATENATE(1,". ",Vorgaben!$C$2-5,"-",Vorgaben!$C$2-1)</f>
        <v>1. 2021-2025</v>
      </c>
      <c r="I124" s="3"/>
      <c r="J124" s="798"/>
      <c r="L124" s="3" t="str">
        <f>CONCATENATE(1,". ",$N$33)</f>
        <v>1. 0</v>
      </c>
      <c r="M124" s="3"/>
      <c r="N124" s="798"/>
      <c r="P124" s="3" t="str">
        <f t="shared" si="12"/>
        <v>1. 0</v>
      </c>
      <c r="Q124" s="3"/>
      <c r="R124" s="277">
        <f t="shared" si="13"/>
        <v>0</v>
      </c>
    </row>
    <row r="125" spans="1:28" x14ac:dyDescent="0.2">
      <c r="E125" s="3" t="str">
        <f>CONCATENATE(2,". ",Vorgaben!$C$2-5,"-",Vorgaben!$C$2-1)</f>
        <v>2. 2021-2025</v>
      </c>
      <c r="F125" s="796"/>
      <c r="H125" s="3" t="str">
        <f>CONCATENATE(2,". ",Vorgaben!$C$2-5,"-",Vorgaben!$C$2-1)</f>
        <v>2. 2021-2025</v>
      </c>
      <c r="I125" s="3"/>
      <c r="J125" s="796"/>
      <c r="L125" s="3" t="str">
        <f>CONCATENATE(2,". ",$N$33)</f>
        <v>2. 0</v>
      </c>
      <c r="M125" s="3"/>
      <c r="N125" s="796"/>
      <c r="P125" s="3" t="str">
        <f t="shared" si="12"/>
        <v>2. 0</v>
      </c>
      <c r="Q125" s="3"/>
      <c r="R125" s="274">
        <f t="shared" si="13"/>
        <v>0</v>
      </c>
    </row>
    <row r="126" spans="1:28" ht="13.5" thickBot="1" x14ac:dyDescent="0.25">
      <c r="E126" s="275" t="str">
        <f>CONCATENATE(3,". ",Vorgaben!$C$2-5,"-",Vorgaben!$C$2-1)</f>
        <v>3. 2021-2025</v>
      </c>
      <c r="F126" s="797"/>
      <c r="H126" s="275" t="str">
        <f>CONCATENATE(3,". ",Vorgaben!$C$2-5,"-",Vorgaben!$C$2-1)</f>
        <v>3. 2021-2025</v>
      </c>
      <c r="I126" s="275"/>
      <c r="J126" s="797"/>
      <c r="L126" s="275" t="str">
        <f>CONCATENATE(3,". ",$N$33)</f>
        <v>3. 0</v>
      </c>
      <c r="M126" s="275"/>
      <c r="N126" s="797"/>
      <c r="P126" s="275" t="str">
        <f t="shared" si="12"/>
        <v>3. 0</v>
      </c>
      <c r="Q126" s="275"/>
      <c r="R126" s="276">
        <f t="shared" si="13"/>
        <v>0</v>
      </c>
    </row>
    <row r="127" spans="1:28" x14ac:dyDescent="0.2">
      <c r="E127" s="3" t="str">
        <f>CONCATENATE(4,". ",Vorgaben!$C$2-5,"-",Vorgaben!$C$2-1)</f>
        <v>4. 2021-2025</v>
      </c>
      <c r="F127" s="798"/>
      <c r="H127" s="3" t="str">
        <f>CONCATENATE(4,". ",Vorgaben!$C$2-5,"-",Vorgaben!$C$2-1)</f>
        <v>4. 2021-2025</v>
      </c>
      <c r="I127" s="3"/>
      <c r="J127" s="798"/>
      <c r="L127" s="3" t="str">
        <f>CONCATENATE(4,". ",$N$33)</f>
        <v>4. 0</v>
      </c>
      <c r="M127" s="3"/>
      <c r="N127" s="798"/>
      <c r="P127" s="3" t="str">
        <f t="shared" si="12"/>
        <v>4. 0</v>
      </c>
      <c r="Q127" s="3"/>
      <c r="R127" s="277">
        <f t="shared" si="13"/>
        <v>0</v>
      </c>
    </row>
    <row r="128" spans="1:28" x14ac:dyDescent="0.2">
      <c r="E128" s="3" t="str">
        <f>CONCATENATE(5,". ",Vorgaben!$C$2-5,"-",Vorgaben!$C$2-1)</f>
        <v>5. 2021-2025</v>
      </c>
      <c r="F128" s="796"/>
      <c r="H128" s="3" t="str">
        <f>CONCATENATE(5,". ",Vorgaben!$C$2-5,"-",Vorgaben!$C$2-1)</f>
        <v>5. 2021-2025</v>
      </c>
      <c r="I128" s="3"/>
      <c r="J128" s="796"/>
      <c r="L128" s="3" t="str">
        <f>CONCATENATE(5,". ",$N$33)</f>
        <v>5. 0</v>
      </c>
      <c r="M128" s="3"/>
      <c r="N128" s="796"/>
      <c r="P128" s="3" t="str">
        <f t="shared" si="12"/>
        <v>5. 0</v>
      </c>
      <c r="Q128" s="3"/>
      <c r="R128" s="274">
        <f t="shared" si="13"/>
        <v>0</v>
      </c>
    </row>
    <row r="129" spans="1:28" ht="13.5" thickBot="1" x14ac:dyDescent="0.25">
      <c r="E129" s="275" t="str">
        <f>CONCATENATE(6,". ",Vorgaben!$C$2-5,"-",Vorgaben!$C$2-1)</f>
        <v>6. 2021-2025</v>
      </c>
      <c r="F129" s="797"/>
      <c r="H129" s="275" t="str">
        <f>CONCATENATE(6,". ",Vorgaben!$C$2-5,"-",Vorgaben!$C$2-1)</f>
        <v>6. 2021-2025</v>
      </c>
      <c r="I129" s="275"/>
      <c r="J129" s="797"/>
      <c r="L129" s="275" t="str">
        <f>CONCATENATE(6,". ",$N$33)</f>
        <v>6. 0</v>
      </c>
      <c r="M129" s="275"/>
      <c r="N129" s="797"/>
      <c r="P129" s="275" t="str">
        <f t="shared" si="12"/>
        <v>6. 0</v>
      </c>
      <c r="Q129" s="275"/>
      <c r="R129" s="276">
        <f t="shared" si="13"/>
        <v>0</v>
      </c>
    </row>
    <row r="130" spans="1:28" x14ac:dyDescent="0.2">
      <c r="E130" s="3" t="str">
        <f>CONCATENATE(7,". ",Vorgaben!$C$2-5,"-",Vorgaben!$C$2-1)</f>
        <v>7. 2021-2025</v>
      </c>
      <c r="F130" s="798"/>
      <c r="H130" s="3" t="str">
        <f>CONCATENATE(7,". ",Vorgaben!$C$2-5,"-",Vorgaben!$C$2-1)</f>
        <v>7. 2021-2025</v>
      </c>
      <c r="I130" s="3"/>
      <c r="J130" s="798"/>
      <c r="L130" s="3" t="str">
        <f>CONCATENATE(7,". ",$N$33)</f>
        <v>7. 0</v>
      </c>
      <c r="M130" s="3"/>
      <c r="N130" s="798"/>
      <c r="P130" s="3" t="str">
        <f t="shared" si="12"/>
        <v>7. 0</v>
      </c>
      <c r="Q130" s="3"/>
      <c r="R130" s="277">
        <f t="shared" si="13"/>
        <v>0</v>
      </c>
    </row>
    <row r="131" spans="1:28" x14ac:dyDescent="0.2">
      <c r="E131" s="3" t="str">
        <f>CONCATENATE(8,". ",Vorgaben!$C$2-5,"-",Vorgaben!$C$2-1)</f>
        <v>8. 2021-2025</v>
      </c>
      <c r="F131" s="796"/>
      <c r="H131" s="3" t="str">
        <f>CONCATENATE(8,". ",Vorgaben!$C$2-5,"-",Vorgaben!$C$2-1)</f>
        <v>8. 2021-2025</v>
      </c>
      <c r="I131" s="3"/>
      <c r="J131" s="796"/>
      <c r="L131" s="3" t="str">
        <f>CONCATENATE(8,". ",$N$33)</f>
        <v>8. 0</v>
      </c>
      <c r="M131" s="3"/>
      <c r="N131" s="796"/>
      <c r="P131" s="3" t="str">
        <f t="shared" si="12"/>
        <v>8. 0</v>
      </c>
      <c r="Q131" s="3"/>
      <c r="R131" s="274">
        <f t="shared" si="13"/>
        <v>0</v>
      </c>
    </row>
    <row r="132" spans="1:28" ht="13.5" thickBot="1" x14ac:dyDescent="0.25">
      <c r="E132" s="275" t="str">
        <f>CONCATENATE(9,". ",Vorgaben!$C$2-5,"-",Vorgaben!$C$2-1)</f>
        <v>9. 2021-2025</v>
      </c>
      <c r="F132" s="797"/>
      <c r="H132" s="275" t="str">
        <f>CONCATENATE(9,". ",Vorgaben!$C$2-5,"-",Vorgaben!$C$2-1)</f>
        <v>9. 2021-2025</v>
      </c>
      <c r="I132" s="275"/>
      <c r="J132" s="797"/>
      <c r="L132" s="275" t="str">
        <f>CONCATENATE(9,". ",$N$33)</f>
        <v>9. 0</v>
      </c>
      <c r="M132" s="275"/>
      <c r="N132" s="797"/>
      <c r="P132" s="275" t="str">
        <f t="shared" si="12"/>
        <v>9. 0</v>
      </c>
      <c r="Q132" s="275"/>
      <c r="R132" s="276">
        <f t="shared" si="13"/>
        <v>0</v>
      </c>
    </row>
    <row r="133" spans="1:28" x14ac:dyDescent="0.2">
      <c r="E133" s="3" t="str">
        <f>CONCATENATE(10,". ",Vorgaben!$C$2-5,"-",Vorgaben!$C$2-1)</f>
        <v>10. 2021-2025</v>
      </c>
      <c r="F133" s="798"/>
      <c r="H133" s="3" t="str">
        <f>CONCATENATE(10,". ",Vorgaben!$C$2-5,"-",Vorgaben!$C$2-1)</f>
        <v>10. 2021-2025</v>
      </c>
      <c r="I133" s="3"/>
      <c r="J133" s="798"/>
      <c r="L133" s="3" t="str">
        <f>CONCATENATE(10,". ",$N$33)</f>
        <v>10. 0</v>
      </c>
      <c r="M133" s="3"/>
      <c r="N133" s="798"/>
      <c r="P133" s="3" t="str">
        <f t="shared" si="12"/>
        <v>10. 0</v>
      </c>
      <c r="Q133" s="3"/>
      <c r="R133" s="277">
        <f t="shared" si="13"/>
        <v>0</v>
      </c>
    </row>
    <row r="134" spans="1:28" x14ac:dyDescent="0.2">
      <c r="E134" s="3" t="str">
        <f>CONCATENATE(11,". ",Vorgaben!$C$2-5,"-",Vorgaben!$C$2-1)</f>
        <v>11. 2021-2025</v>
      </c>
      <c r="F134" s="796"/>
      <c r="H134" s="3" t="str">
        <f>CONCATENATE(11,". ",Vorgaben!$C$2-5,"-",Vorgaben!$C$2-1)</f>
        <v>11. 2021-2025</v>
      </c>
      <c r="I134" s="3"/>
      <c r="J134" s="796"/>
      <c r="L134" s="3" t="str">
        <f>CONCATENATE(11,". ",$N$33)</f>
        <v>11. 0</v>
      </c>
      <c r="M134" s="3"/>
      <c r="N134" s="796"/>
      <c r="P134" s="3" t="str">
        <f t="shared" si="12"/>
        <v>11. 0</v>
      </c>
      <c r="Q134" s="3"/>
      <c r="R134" s="274">
        <f t="shared" si="13"/>
        <v>0</v>
      </c>
    </row>
    <row r="135" spans="1:28" ht="13.5" thickBot="1" x14ac:dyDescent="0.25">
      <c r="E135" s="275" t="str">
        <f>CONCATENATE(12,". ",Vorgaben!$C$2-5,"-",Vorgaben!$C$2-1)</f>
        <v>12. 2021-2025</v>
      </c>
      <c r="F135" s="797"/>
      <c r="H135" s="275" t="str">
        <f>CONCATENATE(12,". ",Vorgaben!$C$2-5,"-",Vorgaben!$C$2-1)</f>
        <v>12. 2021-2025</v>
      </c>
      <c r="I135" s="275"/>
      <c r="J135" s="797"/>
      <c r="L135" s="275" t="str">
        <f>CONCATENATE(12,". ",$N$33)</f>
        <v>12. 0</v>
      </c>
      <c r="M135" s="275"/>
      <c r="N135" s="797"/>
      <c r="P135" s="275" t="str">
        <f t="shared" si="12"/>
        <v>12. 0</v>
      </c>
      <c r="Q135" s="275"/>
      <c r="R135" s="276">
        <f t="shared" si="13"/>
        <v>0</v>
      </c>
    </row>
    <row r="136" spans="1:28" x14ac:dyDescent="0.2">
      <c r="F136" s="273">
        <f>SUM(F121:F135)</f>
        <v>0</v>
      </c>
      <c r="J136" s="273">
        <f>SUM(J121:J135)</f>
        <v>0</v>
      </c>
      <c r="N136" s="273">
        <f>SUM(N121:N135)</f>
        <v>0</v>
      </c>
      <c r="R136" s="273">
        <f>SUM(R121:R135)</f>
        <v>0</v>
      </c>
    </row>
    <row r="137" spans="1:28" x14ac:dyDescent="0.2">
      <c r="E137" s="269"/>
      <c r="F137" s="6"/>
      <c r="H137" s="269"/>
      <c r="I137" s="269"/>
      <c r="J137" s="6"/>
      <c r="L137" s="269"/>
      <c r="M137" s="269"/>
      <c r="N137" s="6"/>
    </row>
    <row r="138" spans="1:28" ht="13.5" thickBot="1" x14ac:dyDescent="0.25">
      <c r="A138" s="271"/>
      <c r="B138" s="271"/>
      <c r="C138" s="271"/>
      <c r="D138" s="271"/>
      <c r="E138" s="271"/>
      <c r="F138" s="271"/>
      <c r="G138" s="271"/>
      <c r="H138" s="271"/>
      <c r="I138" s="271"/>
      <c r="J138" s="271"/>
      <c r="K138" s="271"/>
      <c r="L138" s="271"/>
      <c r="M138" s="271"/>
      <c r="N138" s="271"/>
      <c r="O138" s="271"/>
      <c r="P138" s="271"/>
      <c r="Q138" s="271"/>
      <c r="R138" s="271"/>
      <c r="S138" s="271"/>
      <c r="T138" s="271"/>
      <c r="U138" s="271"/>
      <c r="V138" s="271"/>
      <c r="W138" s="271"/>
      <c r="X138" s="271"/>
      <c r="Y138" s="271"/>
      <c r="Z138" s="237"/>
      <c r="AA138" s="237"/>
      <c r="AB138" s="237"/>
    </row>
    <row r="140" spans="1:28" ht="15.75" x14ac:dyDescent="0.2">
      <c r="B140" s="516" t="str">
        <f ca="1">OFFSET(Sprachen!A214,0,'START, DÉBUT, INIZIO'!$D$4-1,1,1)</f>
        <v>6. Für steuerbare Anlage mit einer Leistung &gt; 3 MW: Daten und Angaben, die für eine Modellierung in einer Software zur Kraftwerkseinsatzoptimierung notwendig sind</v>
      </c>
      <c r="C140" s="516"/>
      <c r="D140" s="517"/>
      <c r="E140" s="536"/>
      <c r="F140" s="514"/>
      <c r="G140" s="536"/>
      <c r="H140" s="514"/>
      <c r="I140" s="514"/>
      <c r="J140" s="536"/>
    </row>
    <row r="141" spans="1:28" ht="21.75" customHeight="1" x14ac:dyDescent="0.2">
      <c r="B141" s="874" t="str">
        <f ca="1">OFFSET(Sprachen!A215,0,'START, DÉBUT, INIZIO'!$D$4-1,1,1)</f>
        <v>in einem geeigneten Format als Beilage</v>
      </c>
      <c r="C141" s="874" t="str">
        <f ca="1">OFFSET(Sprachen!A318,0,'START, DÉBUT, INIZIO'!$D$4-1,1,1)</f>
        <v>Einheitspreis [CHF]</v>
      </c>
      <c r="D141" s="517"/>
      <c r="E141" s="536"/>
      <c r="F141" s="514"/>
      <c r="G141" s="536"/>
      <c r="H141" s="514"/>
      <c r="I141" s="514"/>
      <c r="J141" s="536"/>
    </row>
    <row r="142" spans="1:28" x14ac:dyDescent="0.2">
      <c r="B142" s="514"/>
      <c r="C142" s="522"/>
      <c r="D142" s="517"/>
      <c r="E142" s="536"/>
      <c r="F142" s="514"/>
      <c r="G142" s="536"/>
      <c r="H142" s="514"/>
      <c r="I142" s="514"/>
      <c r="J142" s="536"/>
    </row>
    <row r="143" spans="1:28" ht="30.75" customHeight="1" x14ac:dyDescent="0.2">
      <c r="B143" s="876" t="str">
        <f ca="1">OFFSET(Sprachen!A216,0,'START, DÉBUT, INIZIO'!$D$4-1,1,1)</f>
        <v>Daten und Angaben</v>
      </c>
      <c r="C143" s="876" t="str">
        <f ca="1">OFFSET(Sprachen!A320,0,'START, DÉBUT, INIZIO'!$D$4-1,1,1)</f>
        <v>Anrechenbare Investitions-kosten [CHF]</v>
      </c>
      <c r="D143" s="537"/>
      <c r="E143" s="536" t="str">
        <f ca="1">OFFSET(Sprachen!A180,0,'START, DÉBUT, INIZIO'!$D$4-1,1,1)</f>
        <v>vor Investition</v>
      </c>
      <c r="F143" s="536" t="str">
        <f ca="1">OFFSET(Sprachen!A181,0,'START, DÉBUT, INIZIO'!$D$4-1,1,1)</f>
        <v>nach Investition</v>
      </c>
      <c r="G143" s="514"/>
      <c r="H143" s="538" t="str">
        <f ca="1">OFFSET(Sprachen!A121,0,'START, DÉBUT, INIZIO'!$D$4-1,1,1)</f>
        <v>Bemerkungen, Name des Dokuments etc.</v>
      </c>
      <c r="I143" s="538"/>
      <c r="J143" s="514"/>
    </row>
    <row r="144" spans="1:28" ht="26.25" thickBot="1" x14ac:dyDescent="0.25">
      <c r="B144" s="735" t="b">
        <v>0</v>
      </c>
      <c r="C144" s="539" t="str">
        <f ca="1">OFFSET(Sprachen!A217,0,'START, DÉBUT, INIZIO'!$D$4-1,1,1)</f>
        <v>Installierte Leistung aller Turbinen und Pumpen (einzeln)</v>
      </c>
      <c r="D144" s="539" t="s">
        <v>114</v>
      </c>
      <c r="E144" s="540" t="s">
        <v>1359</v>
      </c>
      <c r="F144" s="540" t="s">
        <v>1359</v>
      </c>
      <c r="G144" s="514"/>
      <c r="H144" s="873"/>
      <c r="I144" s="873"/>
      <c r="J144" s="873"/>
    </row>
    <row r="145" spans="2:10" ht="27" thickTop="1" thickBot="1" x14ac:dyDescent="0.25">
      <c r="B145" s="736" t="b">
        <v>0</v>
      </c>
      <c r="C145" s="539" t="str">
        <f ca="1">OFFSET(Sprachen!A218,0,'START, DÉBUT, INIZIO'!$D$4-1,1,1)</f>
        <v>Schluckvermögen aller Turbinen und Pumpen (einzeln)</v>
      </c>
      <c r="D145" s="541" t="s">
        <v>1336</v>
      </c>
      <c r="E145" s="542" t="s">
        <v>1359</v>
      </c>
      <c r="F145" s="542" t="s">
        <v>1359</v>
      </c>
      <c r="G145" s="514"/>
      <c r="H145" s="873"/>
      <c r="I145" s="873"/>
      <c r="J145" s="873"/>
    </row>
    <row r="146" spans="2:10" ht="52.5" thickTop="1" thickBot="1" x14ac:dyDescent="0.25">
      <c r="B146" s="736" t="b">
        <v>0</v>
      </c>
      <c r="C146" s="539" t="str">
        <f ca="1">OFFSET(Sprachen!A219,0,'START, DÉBUT, INIZIO'!$D$4-1,1,1)</f>
        <v>die zeitliche Verteilung aller relevanten Zuflüsse zu den Fassungen und Speichern währen einem hydrologischen Jahr in einem geeigneten Format und zeitlicher Auflösung</v>
      </c>
      <c r="D146" s="541" t="s">
        <v>1336</v>
      </c>
      <c r="E146" s="542" t="s">
        <v>1359</v>
      </c>
      <c r="F146" s="542"/>
      <c r="G146" s="514"/>
      <c r="H146" s="873"/>
      <c r="I146" s="873"/>
      <c r="J146" s="873"/>
    </row>
    <row r="147" spans="2:10" ht="13.5" thickTop="1" x14ac:dyDescent="0.2">
      <c r="B147" s="737"/>
      <c r="C147" s="543"/>
      <c r="D147" s="543"/>
      <c r="E147" s="544"/>
      <c r="F147" s="545"/>
      <c r="G147" s="544"/>
      <c r="H147" s="544"/>
      <c r="I147" s="546"/>
      <c r="J147" s="514"/>
    </row>
    <row r="148" spans="2:10" ht="26.25" customHeight="1" thickBot="1" x14ac:dyDescent="0.25">
      <c r="B148" s="738" t="b">
        <v>0</v>
      </c>
      <c r="C148" s="875" t="str">
        <f ca="1">OFFSET(Sprachen!A220,0,'START, DÉBUT, INIZIO'!$D$4-1,1,1)</f>
        <v>die genaue Kraftwerktopologie mit allen relevanten Informationen in geeignemtem Format und geeigneter Auflösung</v>
      </c>
      <c r="D148" s="875" t="str">
        <f ca="1">OFFSET(Sprachen!B221,0,'START, DÉBUT, INIZIO'!$D$4-1,1,1)</f>
        <v>les courbes de puissance de toutes les turbines et pompes en fonction des niveaux des lacs d’accumulation</v>
      </c>
      <c r="E148" s="875">
        <f ca="1">OFFSET(Sprachen!C221,0,'START, DÉBUT, INIZIO'!$D$4-1,1,1)</f>
        <v>0</v>
      </c>
      <c r="F148" s="875">
        <f ca="1">OFFSET(Sprachen!D221,0,'START, DÉBUT, INIZIO'!$D$4-1,1,1)</f>
        <v>0</v>
      </c>
      <c r="G148" s="875">
        <f ca="1">OFFSET(Sprachen!E221,0,'START, DÉBUT, INIZIO'!$D$4-1,1,1)</f>
        <v>0</v>
      </c>
      <c r="H148" s="873"/>
      <c r="I148" s="873"/>
      <c r="J148" s="873"/>
    </row>
    <row r="149" spans="2:10" ht="24.75" customHeight="1" thickTop="1" thickBot="1" x14ac:dyDescent="0.25">
      <c r="B149" s="739" t="b">
        <v>0</v>
      </c>
      <c r="C149" s="870" t="str">
        <f ca="1">OFFSET(Sprachen!A221,0,'START, DÉBUT, INIZIO'!$D$4-1,1,1)</f>
        <v>die Leistungskurven aller Turbinen und Pumpen in Abhängigkeit von Seeständen</v>
      </c>
      <c r="D149" s="870" t="str">
        <f ca="1">OFFSET(Sprachen!B222,0,'START, DÉBUT, INIZIO'!$D$4-1,1,1)</f>
        <v>pour les agrandissements notables, la topologie de la centrale assortie de toutes les informations pertinentes avec et sans agrandissement</v>
      </c>
      <c r="E149" s="870" t="str">
        <f ca="1">OFFSET(Sprachen!C222,0,'START, DÉBUT, INIZIO'!$D$4-1,1,1)</f>
        <v>per gli ampliamenti considerevoli: la topologia della centrale elettrica con tutte le informazioni rilevanti con e senza ampliamento</v>
      </c>
      <c r="F149" s="870">
        <f ca="1">OFFSET(Sprachen!D222,0,'START, DÉBUT, INIZIO'!$D$4-1,1,1)</f>
        <v>0</v>
      </c>
      <c r="G149" s="870">
        <f ca="1">OFFSET(Sprachen!E222,0,'START, DÉBUT, INIZIO'!$D$4-1,1,1)</f>
        <v>0</v>
      </c>
      <c r="H149" s="873"/>
      <c r="I149" s="873"/>
      <c r="J149" s="873"/>
    </row>
    <row r="150" spans="2:10" ht="27" customHeight="1" thickTop="1" thickBot="1" x14ac:dyDescent="0.25">
      <c r="B150" s="739" t="b">
        <v>0</v>
      </c>
      <c r="C150" s="872" t="str">
        <f ca="1">OFFSET(Sprachen!A222,0,'START, DÉBUT, INIZIO'!$D$4-1,1,1)</f>
        <v>für erhebliche Erweiterungen: die Kraftwerkstopologie mit allen relevanten Invormationen mit und ohne Erweiterung</v>
      </c>
      <c r="D150" s="872" t="str">
        <f ca="1">OFFSET(Sprachen!B223,0,'START, DÉBUT, INIZIO'!$D$4-1,1,1)</f>
        <v>pour les rénovations notables, la topologie de la centrale pour les parties non rénovées de l’installation, assortie de toutes les informations pertinentes</v>
      </c>
      <c r="E150" s="872" t="str">
        <f ca="1">OFFSET(Sprachen!C223,0,'START, DÉBUT, INIZIO'!$D$4-1,1,1)</f>
        <v>per i rinnovamenti considerevoli: la topologia della centrale elettrica delle parti dell’impianto non rinnovate con tutte le informazioni rilevanti</v>
      </c>
      <c r="F150" s="872">
        <f ca="1">OFFSET(Sprachen!D223,0,'START, DÉBUT, INIZIO'!$D$4-1,1,1)</f>
        <v>0</v>
      </c>
      <c r="G150" s="872">
        <f ca="1">OFFSET(Sprachen!E223,0,'START, DÉBUT, INIZIO'!$D$4-1,1,1)</f>
        <v>0</v>
      </c>
      <c r="H150" s="873"/>
      <c r="I150" s="873"/>
      <c r="J150" s="873"/>
    </row>
    <row r="151" spans="2:10" ht="26.25" customHeight="1" thickTop="1" thickBot="1" x14ac:dyDescent="0.25">
      <c r="B151" s="739" t="b">
        <v>0</v>
      </c>
      <c r="C151" s="872" t="str">
        <f ca="1">OFFSET(Sprachen!A223,0,'START, DÉBUT, INIZIO'!$D$4-1,1,1)</f>
        <v>für erhebliche Erneuerungen: die Kraftwerkstopologie der nicht erneuerten Anlageteile mit allen relevanten Informationen</v>
      </c>
      <c r="D151" s="872" t="str">
        <f ca="1">OFFSET(Sprachen!B224,0,'START, DÉBUT, INIZIO'!$D$4-1,1,1)</f>
        <v>8. Informations complémentaires (en pièce jointe ou intégrés dans le rapport technique)</v>
      </c>
      <c r="E151" s="872" t="str">
        <f ca="1">OFFSET(Sprachen!C224,0,'START, DÉBUT, INIZIO'!$D$4-1,1,1)</f>
        <v>8. Ulteriori informazioni (come allegati o integrate nella descrizione tecnica)</v>
      </c>
      <c r="F151" s="872">
        <f ca="1">OFFSET(Sprachen!D224,0,'START, DÉBUT, INIZIO'!$D$4-1,1,1)</f>
        <v>0</v>
      </c>
      <c r="G151" s="872">
        <f ca="1">OFFSET(Sprachen!E224,0,'START, DÉBUT, INIZIO'!$D$4-1,1,1)</f>
        <v>0</v>
      </c>
      <c r="H151" s="871"/>
      <c r="I151" s="871"/>
      <c r="J151" s="871"/>
    </row>
    <row r="152" spans="2:10" ht="30.75" customHeight="1" thickTop="1" thickBot="1" x14ac:dyDescent="0.25">
      <c r="B152" s="739" t="b">
        <v>0</v>
      </c>
      <c r="C152" s="872"/>
      <c r="D152" s="872"/>
      <c r="E152" s="872"/>
      <c r="F152" s="872"/>
      <c r="G152" s="872"/>
      <c r="H152" s="873"/>
      <c r="I152" s="873"/>
      <c r="J152" s="873"/>
    </row>
    <row r="153" spans="2:10" ht="13.5" thickTop="1" x14ac:dyDescent="0.2">
      <c r="B153" s="514"/>
      <c r="C153" s="514"/>
      <c r="D153" s="514"/>
      <c r="E153" s="514"/>
      <c r="F153" s="514"/>
      <c r="G153" s="514"/>
      <c r="H153" s="514"/>
      <c r="I153" s="514"/>
      <c r="J153" s="514"/>
    </row>
    <row r="154" spans="2:10" x14ac:dyDescent="0.2">
      <c r="B154" s="501"/>
      <c r="C154" s="514"/>
      <c r="D154" s="514"/>
      <c r="E154" s="514"/>
      <c r="F154" s="514"/>
      <c r="G154" s="514"/>
      <c r="H154" s="514"/>
      <c r="I154" s="514"/>
      <c r="J154" s="514"/>
    </row>
    <row r="155" spans="2:10" ht="15.75" x14ac:dyDescent="0.2">
      <c r="B155" s="516" t="str">
        <f ca="1">OFFSET(Sprachen!A224,0,'START, DÉBUT, INIZIO'!$D$4-1,1,1)</f>
        <v>7. Weitere Angaben (als Beilagen oder in den technischen Bericht integriert)</v>
      </c>
      <c r="C155" s="516"/>
      <c r="D155" s="514"/>
      <c r="E155" s="514"/>
      <c r="F155" s="514"/>
      <c r="G155" s="514"/>
      <c r="H155" s="514"/>
      <c r="I155" s="514"/>
      <c r="J155" s="514"/>
    </row>
    <row r="156" spans="2:10" ht="13.5" thickBot="1" x14ac:dyDescent="0.25">
      <c r="B156" s="501"/>
      <c r="C156" s="514"/>
      <c r="D156" s="514"/>
      <c r="E156" s="514"/>
      <c r="F156" s="514"/>
      <c r="G156" s="514"/>
      <c r="H156" s="538" t="str">
        <f ca="1">OFFSET(Sprachen!A121,0,'START, DÉBUT, INIZIO'!$D$4-1,1,1)</f>
        <v>Bemerkungen, Name des Dokuments etc.</v>
      </c>
      <c r="I156" s="538"/>
      <c r="J156" s="514"/>
    </row>
    <row r="157" spans="2:10" ht="28.5" customHeight="1" thickTop="1" thickBot="1" x14ac:dyDescent="0.25">
      <c r="B157" s="735" t="b">
        <v>0</v>
      </c>
      <c r="C157" s="870" t="str">
        <f ca="1">OFFSET(Sprachen!A225,0,'START, DÉBUT, INIZIO'!$D$4-1,1,1)</f>
        <v>Anlageschema, welches die wichtigsten hydraulische Komponenten der Kraftwerksanlage und deren Verbindungen aufzeigt (hydraulisches Schema)</v>
      </c>
      <c r="D157" s="870" t="e">
        <f ca="1">OFFSET(Sprachen!#REF!,0,'START, DÉBUT, INIZIO'!$D$4-1,1,1)</f>
        <v>#REF!</v>
      </c>
      <c r="E157" s="870" t="e">
        <f ca="1">OFFSET(Sprachen!#REF!,0,'START, DÉBUT, INIZIO'!$D$4-1,1,1)</f>
        <v>#REF!</v>
      </c>
      <c r="F157" s="870" t="e">
        <f ca="1">OFFSET(Sprachen!#REF!,0,'START, DÉBUT, INIZIO'!$D$4-1,1,1)</f>
        <v>#REF!</v>
      </c>
      <c r="G157" s="870" t="e">
        <f ca="1">OFFSET(Sprachen!#REF!,0,'START, DÉBUT, INIZIO'!$D$4-1,1,1)</f>
        <v>#REF!</v>
      </c>
      <c r="H157" s="871"/>
      <c r="I157" s="871"/>
      <c r="J157" s="871"/>
    </row>
    <row r="158" spans="2:10" ht="36" customHeight="1" thickTop="1" thickBot="1" x14ac:dyDescent="0.25">
      <c r="B158" s="735" t="b">
        <v>0</v>
      </c>
      <c r="C158" s="870" t="str">
        <f ca="1">OFFSET(Sprachen!A226,0,'START, DÉBUT, INIZIO'!$D$4-1,1,1)</f>
        <v>Fähigkeit für Systemdienstleistungen (Primärregelung, positive Sekundärregelung, negative Sekundärregelung, positive Tertiärregelung, negative Tertiärregelung) der Turbinen und Pumpen</v>
      </c>
      <c r="D158" s="870">
        <f ca="1">OFFSET(Sprachen!B227,0,'START, DÉBUT, INIZIO'!$D$4-1,1,1)</f>
        <v>0</v>
      </c>
      <c r="E158" s="870">
        <f ca="1">OFFSET(Sprachen!C227,0,'START, DÉBUT, INIZIO'!$D$4-1,1,1)</f>
        <v>0</v>
      </c>
      <c r="F158" s="870">
        <f ca="1">OFFSET(Sprachen!D227,0,'START, DÉBUT, INIZIO'!$D$4-1,1,1)</f>
        <v>0</v>
      </c>
      <c r="G158" s="870">
        <f ca="1">OFFSET(Sprachen!E227,0,'START, DÉBUT, INIZIO'!$D$4-1,1,1)</f>
        <v>0</v>
      </c>
      <c r="H158" s="871"/>
      <c r="I158" s="871"/>
      <c r="J158" s="871"/>
    </row>
    <row r="159" spans="2:10" ht="13.5" thickTop="1" x14ac:dyDescent="0.2"/>
    <row r="161" spans="3:3" x14ac:dyDescent="0.2">
      <c r="C161" s="547" t="s">
        <v>1566</v>
      </c>
    </row>
  </sheetData>
  <sheetProtection algorithmName="SHA-512" hashValue="fIg2Y1G3jIGGwwYocwwgltLX9TMlJ96EQ09PRrD8h2lKk08z7IHNcQv30mV1Qd+VPy+wEOdn0yg+LnKkdSyRvQ==" saltValue="dtGXybe4VGfymRnFAvuidw==" spinCount="100000" sheet="1" objects="1" scenarios="1"/>
  <mergeCells count="42">
    <mergeCell ref="AA37:AB37"/>
    <mergeCell ref="U37:V37"/>
    <mergeCell ref="X37:Y37"/>
    <mergeCell ref="L37:N37"/>
    <mergeCell ref="E118:F118"/>
    <mergeCell ref="H118:J118"/>
    <mergeCell ref="L118:N118"/>
    <mergeCell ref="P118:R118"/>
    <mergeCell ref="E68:F68"/>
    <mergeCell ref="H68:J68"/>
    <mergeCell ref="L68:N68"/>
    <mergeCell ref="P68:R68"/>
    <mergeCell ref="B6:H6"/>
    <mergeCell ref="E92:F92"/>
    <mergeCell ref="H92:J92"/>
    <mergeCell ref="L92:N92"/>
    <mergeCell ref="P92:R92"/>
    <mergeCell ref="P37:R37"/>
    <mergeCell ref="E37:F37"/>
    <mergeCell ref="H37:J37"/>
    <mergeCell ref="C20:D20"/>
    <mergeCell ref="C23:D23"/>
    <mergeCell ref="C24:D24"/>
    <mergeCell ref="B141:C141"/>
    <mergeCell ref="C148:G148"/>
    <mergeCell ref="H148:J148"/>
    <mergeCell ref="C149:G149"/>
    <mergeCell ref="H149:J149"/>
    <mergeCell ref="B143:C143"/>
    <mergeCell ref="H144:J144"/>
    <mergeCell ref="H145:J145"/>
    <mergeCell ref="H146:J146"/>
    <mergeCell ref="C157:G157"/>
    <mergeCell ref="H157:J157"/>
    <mergeCell ref="C158:G158"/>
    <mergeCell ref="H158:J158"/>
    <mergeCell ref="C150:G150"/>
    <mergeCell ref="H150:J150"/>
    <mergeCell ref="C151:G151"/>
    <mergeCell ref="H151:J151"/>
    <mergeCell ref="C152:G152"/>
    <mergeCell ref="H152:J152"/>
  </mergeCells>
  <hyperlinks>
    <hyperlink ref="C161" location="'2 Techn. Angaben &amp; Produktion'!A1" display="Seitenanfang / haut de page / inizio pagina" xr:uid="{E0F8EE66-EB97-40E5-8D6B-D1262E2EF501}"/>
    <hyperlink ref="N4" location="'START, DÉBUT, INIZIO'!A1" display="START / DÉBUT / INIZIO" xr:uid="{A0B61518-96B1-46B0-A742-8F002BF29299}"/>
  </hyperlinks>
  <pageMargins left="0.7" right="0.7" top="0.78740157499999996" bottom="0.78740157499999996" header="0.3" footer="0.3"/>
  <pageSetup paperSize="9" scale="2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88173-8515-4E5C-8042-4B49CCE7C8B2}">
  <sheetPr>
    <tabColor rgb="FFFFC000"/>
    <pageSetUpPr fitToPage="1"/>
  </sheetPr>
  <dimension ref="A1:W378"/>
  <sheetViews>
    <sheetView zoomScaleNormal="100" workbookViewId="0">
      <selection activeCell="N29" sqref="N29"/>
    </sheetView>
  </sheetViews>
  <sheetFormatPr baseColWidth="10" defaultColWidth="8.85546875" defaultRowHeight="14.25" x14ac:dyDescent="0.2"/>
  <cols>
    <col min="1" max="1" width="2.85546875" style="18" customWidth="1"/>
    <col min="2" max="2" width="2.42578125" style="19" customWidth="1"/>
    <col min="3" max="3" width="3.5703125" style="19" customWidth="1"/>
    <col min="4" max="4" width="4.5703125" style="19" customWidth="1"/>
    <col min="5" max="5" width="6.28515625" style="19" customWidth="1"/>
    <col min="6" max="6" width="38.140625" style="20" customWidth="1"/>
    <col min="7" max="7" width="10.140625" style="21" customWidth="1"/>
    <col min="8" max="8" width="73.5703125" style="22" customWidth="1"/>
    <col min="9" max="9" width="14.7109375" style="21" customWidth="1"/>
    <col min="10" max="10" width="8.7109375" style="40" customWidth="1"/>
    <col min="11" max="11" width="10.140625" style="41" customWidth="1"/>
    <col min="12" max="12" width="12.5703125" style="42" customWidth="1"/>
    <col min="13" max="15" width="14.7109375" style="43" customWidth="1"/>
    <col min="16" max="16" width="4.7109375" style="18" customWidth="1"/>
    <col min="17" max="17" width="14.42578125" style="24" bestFit="1" customWidth="1"/>
    <col min="18" max="18" width="13.85546875" style="18" customWidth="1"/>
    <col min="19" max="19" width="33" style="18" bestFit="1" customWidth="1"/>
    <col min="20" max="20" width="16.42578125" style="25" customWidth="1"/>
    <col min="21" max="21" width="8.140625" style="18" customWidth="1"/>
    <col min="22" max="22" width="18.85546875" style="18" bestFit="1" customWidth="1"/>
    <col min="23" max="23" width="15.85546875" style="18" bestFit="1" customWidth="1"/>
    <col min="24" max="16384" width="8.85546875" style="18"/>
  </cols>
  <sheetData>
    <row r="1" spans="1:23" ht="25.5" customHeight="1" x14ac:dyDescent="0.2">
      <c r="A1" s="461"/>
      <c r="B1" s="488" t="str">
        <f ca="1">OFFSET(Sprachen!A294,0,'START, DÉBUT, INIZIO'!$D$4-1,1,1)</f>
        <v>3. Investitionskosten</v>
      </c>
      <c r="C1" s="456"/>
      <c r="D1" s="456"/>
      <c r="E1" s="456"/>
      <c r="F1" s="457"/>
      <c r="G1" s="458"/>
      <c r="H1" s="459"/>
      <c r="I1" s="458"/>
      <c r="J1" s="460"/>
      <c r="K1" s="461"/>
      <c r="L1" s="461"/>
      <c r="M1" s="461"/>
      <c r="N1" s="461"/>
      <c r="O1" s="461"/>
      <c r="P1" s="461"/>
      <c r="Q1" s="462"/>
      <c r="R1" s="478" t="s">
        <v>1582</v>
      </c>
    </row>
    <row r="2" spans="1:23" ht="75.75" customHeight="1" x14ac:dyDescent="0.2">
      <c r="J2" s="23"/>
      <c r="K2" s="887" t="s">
        <v>495</v>
      </c>
      <c r="L2" s="887"/>
      <c r="M2" s="887"/>
      <c r="N2" s="888"/>
      <c r="O2" s="472" t="str">
        <f>'START, DÉBUT, INIZIO'!C10</f>
        <v>d</v>
      </c>
    </row>
    <row r="3" spans="1:23" s="26" customFormat="1" ht="21.95" customHeight="1" x14ac:dyDescent="0.2">
      <c r="B3" s="27" t="str">
        <f ca="1">OFFSET(Sprachen!A296,0,'START, DÉBUT, INIZIO'!$D$4-1,1,1)</f>
        <v>Investitionsbeiträge für Klein- und Grosswasserkraftanlagen</v>
      </c>
      <c r="F3" s="28"/>
      <c r="G3" s="29"/>
      <c r="H3" s="30"/>
      <c r="I3" s="28"/>
      <c r="J3" s="31"/>
      <c r="K3" s="887" t="str">
        <f ca="1">OFFSET(Sprachen!A299,0,'START, DÉBUT, INIZIO'!$D$4-1,1,1)</f>
        <v>Jahr Inbetriebnahme</v>
      </c>
      <c r="L3" s="887"/>
      <c r="M3" s="887"/>
      <c r="N3" s="888"/>
      <c r="O3" s="471">
        <f>'1 Allgemeines &amp; Unterschrift'!F55</f>
        <v>0</v>
      </c>
      <c r="Q3" s="496" t="str">
        <f ca="1">OFFSET(Sprachen!A301,0,'START, DÉBUT, INIZIO'!$D$4-1,1,1)</f>
        <v>Wert aus Blatt 1</v>
      </c>
      <c r="S3" s="16"/>
      <c r="T3" s="33"/>
    </row>
    <row r="4" spans="1:23" s="26" customFormat="1" ht="21.95" customHeight="1" x14ac:dyDescent="0.2">
      <c r="B4" s="27" t="str">
        <f ca="1">OFFSET(Sprachen!A297,0,'START, DÉBUT, INIZIO'!$D$4-1,1,1)</f>
        <v>Vorlage zur Auflistung der Investitionskosten (als Ergänzung zur Wegleitung zur Auflistung der Investitionskosten)</v>
      </c>
      <c r="F4" s="28"/>
      <c r="G4" s="29"/>
      <c r="H4" s="30"/>
      <c r="I4" s="28"/>
      <c r="J4" s="34"/>
      <c r="K4" s="887" t="str">
        <f ca="1">OFFSET(Sprachen!A300,0,'START, DÉBUT, INIZIO'!$D$4-1,1,1)</f>
        <v>Jahr Ablauf der Konzession</v>
      </c>
      <c r="L4" s="887"/>
      <c r="M4" s="887"/>
      <c r="N4" s="888"/>
      <c r="O4" s="471">
        <f>'1 Allgemeines &amp; Unterschrift'!F56</f>
        <v>0</v>
      </c>
      <c r="Q4" s="496" t="str">
        <f ca="1">OFFSET(Sprachen!A301,0,'START, DÉBUT, INIZIO'!$D$4-1,1,1)</f>
        <v>Wert aus Blatt 1</v>
      </c>
      <c r="S4" s="16"/>
      <c r="T4" s="33"/>
    </row>
    <row r="5" spans="1:23" s="26" customFormat="1" ht="30" customHeight="1" x14ac:dyDescent="0.2">
      <c r="B5" s="27"/>
      <c r="F5" s="28"/>
      <c r="G5" s="29"/>
      <c r="H5" s="30"/>
      <c r="I5" s="28"/>
      <c r="J5" s="28"/>
      <c r="K5" s="887" t="str">
        <f ca="1">OFFSET(Sprachen!A302,0,'START, DÉBUT, INIZIO'!$D$4-1,1,1)</f>
        <v>Restwertvereinbarung vorhanden (Art. 61 Abs. 4 EnFV)</v>
      </c>
      <c r="L5" s="887"/>
      <c r="M5" s="887"/>
      <c r="N5" s="888"/>
      <c r="O5" s="495"/>
      <c r="Q5" s="32"/>
      <c r="S5" s="16"/>
      <c r="T5" s="33"/>
    </row>
    <row r="6" spans="1:23" s="26" customFormat="1" ht="21.95" customHeight="1" x14ac:dyDescent="0.2">
      <c r="B6" s="35" t="str">
        <f ca="1">OFFSET(Sprachen!A298,0,'START, DÉBUT, INIZIO'!$D$4-1,1,1)</f>
        <v>Version 2.3 vom 18. Juli 2023</v>
      </c>
      <c r="C6" s="36"/>
      <c r="D6" s="36"/>
      <c r="E6" s="36"/>
      <c r="F6" s="37"/>
      <c r="G6" s="38"/>
      <c r="H6" s="39"/>
      <c r="I6" s="37"/>
      <c r="J6" s="37"/>
      <c r="K6" s="887" t="str">
        <f ca="1">OFFSET(Sprachen!A303,0,'START, DÉBUT, INIZIO'!$D$4-1,1,1)</f>
        <v>Reduktion IB in % (Art. 61 Abs. 4 EnFV)</v>
      </c>
      <c r="L6" s="887"/>
      <c r="M6" s="887"/>
      <c r="N6" s="888"/>
      <c r="O6" s="454">
        <f ca="1">IF(O5=DropDown!C21,0,IF((O4-O3)&gt;U12,0,ROUNDDOWN(((1-((O4-O3)/U12))*100)/1.05^(O4-O3),2)))</f>
        <v>100</v>
      </c>
      <c r="Q6" s="32"/>
      <c r="T6" s="33"/>
    </row>
    <row r="7" spans="1:23" x14ac:dyDescent="0.2">
      <c r="Q7" s="18"/>
    </row>
    <row r="8" spans="1:23" x14ac:dyDescent="0.2">
      <c r="B8" s="44" t="str">
        <f ca="1">OFFSET(Sprachen!A304,0,'START, DÉBUT, INIZIO'!$D$4-1,1,1)</f>
        <v>Allgemeine Angaben</v>
      </c>
      <c r="C8" s="45"/>
      <c r="D8" s="45"/>
      <c r="E8" s="45"/>
      <c r="F8" s="46"/>
      <c r="G8" s="47"/>
      <c r="H8" s="47"/>
      <c r="I8" s="48"/>
      <c r="J8" s="49"/>
      <c r="K8" s="889" t="str">
        <f ca="1">OFFSET(Sprachen!A309,0,'START, DÉBUT, INIZIO'!$D$4-1,1,1)</f>
        <v>Bearbeitbare bzw. zu bearbeitende Zellen</v>
      </c>
      <c r="L8" s="890"/>
      <c r="M8" s="890"/>
      <c r="N8" s="890"/>
      <c r="O8" s="891"/>
      <c r="Q8" s="18"/>
      <c r="R8" s="50"/>
    </row>
    <row r="9" spans="1:23" x14ac:dyDescent="0.2">
      <c r="B9" s="51" t="str">
        <f ca="1">OFFSET(Sprachen!A305,0,'START, DÉBUT, INIZIO'!$D$4-1,1,1)</f>
        <v>Projekttitel</v>
      </c>
      <c r="C9" s="52"/>
      <c r="D9" s="52"/>
      <c r="E9" s="52"/>
      <c r="F9" s="53"/>
      <c r="G9" s="892"/>
      <c r="H9" s="893"/>
      <c r="I9" s="894"/>
      <c r="J9" s="49"/>
      <c r="K9" s="895" t="str">
        <f ca="1">OFFSET(Sprachen!A307,0,'START, DÉBUT, INIZIO'!$D$4-1,1,1)</f>
        <v>Neue Zeilen: Start / Einfügen / Blattzeilen einfügen,</v>
      </c>
      <c r="L9" s="896"/>
      <c r="M9" s="896"/>
      <c r="N9" s="896"/>
      <c r="O9" s="897"/>
      <c r="Q9" s="54"/>
      <c r="R9" s="18" t="str">
        <f ca="1">OFFSET(Sprachen!A310,0,'START, DÉBUT, INIZIO'!$D$4-1,1,1)</f>
        <v>Summe i.o.</v>
      </c>
      <c r="V9" s="55" t="str">
        <f ca="1">OFFSET(Sprachen!A402,0,'START, DÉBUT, INIZIO'!$D$4-1,1,1)</f>
        <v>Kapitalkosten BFE</v>
      </c>
    </row>
    <row r="10" spans="1:23" x14ac:dyDescent="0.2">
      <c r="B10" s="56" t="str">
        <f ca="1">OFFSET(Sprachen!A306,0,'START, DÉBUT, INIZIO'!$D$4-1,1,1)</f>
        <v>Datum Kostenschätzung</v>
      </c>
      <c r="C10" s="57"/>
      <c r="D10" s="57"/>
      <c r="E10" s="57"/>
      <c r="F10" s="58"/>
      <c r="G10" s="879"/>
      <c r="H10" s="880"/>
      <c r="I10" s="881"/>
      <c r="J10" s="49"/>
      <c r="K10" s="882" t="str">
        <f ca="1">OFFSET(Sprachen!A308,0,'START, DÉBUT, INIZIO'!$D$4-1,1,1)</f>
        <v>dann bitte hier Formel kopieren</v>
      </c>
      <c r="L10" s="883"/>
      <c r="M10" s="883"/>
      <c r="N10" s="883"/>
      <c r="O10" s="884"/>
      <c r="Q10" s="59"/>
      <c r="R10" s="18" t="str">
        <f ca="1">OFFSET(Sprachen!A311,0,'START, DÉBUT, INIZIO'!$D$4-1,1,1)</f>
        <v>Summen- oder Formelfehler</v>
      </c>
      <c r="V10" s="122">
        <f>Vorgaben!C12</f>
        <v>4.2750000000000003E-2</v>
      </c>
    </row>
    <row r="11" spans="1:23" x14ac:dyDescent="0.2">
      <c r="A11" s="43"/>
      <c r="B11" s="43"/>
      <c r="C11" s="43"/>
      <c r="D11" s="43"/>
      <c r="E11" s="55"/>
      <c r="F11" s="43"/>
      <c r="G11" s="60"/>
      <c r="H11" s="61"/>
      <c r="I11" s="43"/>
      <c r="J11" s="43"/>
    </row>
    <row r="12" spans="1:23" ht="54.75" customHeight="1" x14ac:dyDescent="0.2">
      <c r="B12" s="44" t="str">
        <f ca="1">OFFSET(Sprachen!A312,0,'START, DÉBUT, INIZIO'!$D$4-1,1,1)</f>
        <v>Investitionskosten [CHF exkl. MWSt]</v>
      </c>
      <c r="C12" s="62"/>
      <c r="D12" s="62"/>
      <c r="E12" s="62"/>
      <c r="F12" s="63"/>
      <c r="G12" s="64" t="str">
        <f ca="1">OFFSET(Sprachen!A313,0,'START, DÉBUT, INIZIO'!$D$4-1,1,1)</f>
        <v>Nutzungsdauer</v>
      </c>
      <c r="H12" s="65" t="str">
        <f ca="1">OFFSET(Sprachen!A314,0,'START, DÉBUT, INIZIO'!$D$4-1,1,1)</f>
        <v>Beschreibung</v>
      </c>
      <c r="I12" s="66" t="str">
        <f ca="1">OFFSET(Sprachen!A315,0,'START, DÉBUT, INIZIO'!$D$4-1,1,1)</f>
        <v>Referenzplan Nr.</v>
      </c>
      <c r="J12" s="67" t="str">
        <f ca="1">OFFSET(Sprachen!A316,0,'START, DÉBUT, INIZIO'!$D$4-1,1,1)</f>
        <v>Einheit</v>
      </c>
      <c r="K12" s="68" t="str">
        <f ca="1">OFFSET(Sprachen!A317,0,'START, DÉBUT, INIZIO'!$D$4-1,1,1)</f>
        <v>Menge</v>
      </c>
      <c r="L12" s="69" t="str">
        <f ca="1">OFFSET(Sprachen!A318,0,'START, DÉBUT, INIZIO'!$D$4-1,1,1)</f>
        <v>Einheitspreis [CHF]</v>
      </c>
      <c r="M12" s="70" t="str">
        <f ca="1">OFFSET(Sprachen!A319,0,'START, DÉBUT, INIZIO'!$D$4-1,1,1)</f>
        <v>Summe Investitions-kosten Total [CHF]</v>
      </c>
      <c r="N12" s="71" t="str">
        <f ca="1">OFFSET(Sprachen!A320,0,'START, DÉBUT, INIZIO'!$D$4-1,1,1)</f>
        <v>Anrechenbare Investitions-kosten [CHF]</v>
      </c>
      <c r="O12" s="70" t="str">
        <f ca="1">OFFSET(Sprachen!A321,0,'START, DÉBUT, INIZIO'!$D$4-1,1,1)</f>
        <v xml:space="preserve">Nicht anrechenbare Investitions-kosten [CHF]  </v>
      </c>
      <c r="Q12" s="72" t="str">
        <f ca="1">OFFSET(Sprachen!A322,0,'START, DÉBUT, INIZIO'!$D$4-1,1,1)</f>
        <v>Kontrollfeld Summen anrechenbar / nicht anrechenbar</v>
      </c>
      <c r="R12" s="72" t="str">
        <f ca="1">OFFSET(Sprachen!A323,0,'START, DÉBUT, INIZIO'!$D$4-1,1,1)</f>
        <v>Kontrollfeld Summenprodukt Menge x Einheitspreis</v>
      </c>
      <c r="U12" s="373">
        <f>ROUNDDOWN(U13,0)</f>
        <v>1</v>
      </c>
      <c r="V12" s="393" t="str">
        <f ca="1">OFFSET(Sprachen!A400,0,'START, DÉBUT, INIZIO'!$D$4-1,1,1)</f>
        <v>Annuitätenfaktor</v>
      </c>
      <c r="W12" s="394" t="str">
        <f ca="1">OFFSET(Sprachen!A401,0,'START, DÉBUT, INIZIO'!$D$4-1,1,1)</f>
        <v>Annuität in CHF</v>
      </c>
    </row>
    <row r="13" spans="1:23" ht="22.15" customHeight="1" x14ac:dyDescent="0.2">
      <c r="B13" s="44" t="str">
        <f ca="1">OFFSET(Sprachen!A324,0,'START, DÉBUT, INIZIO'!$D$4-1,1,1)</f>
        <v>T</v>
      </c>
      <c r="C13" s="45" t="str">
        <f ca="1">OFFSET(Sprachen!A325,0,'START, DÉBUT, INIZIO'!$D$4-1,1,1)</f>
        <v>TOTAL</v>
      </c>
      <c r="D13" s="62"/>
      <c r="E13" s="62"/>
      <c r="F13" s="73"/>
      <c r="G13" s="74"/>
      <c r="H13" s="75"/>
      <c r="I13" s="76"/>
      <c r="J13" s="77"/>
      <c r="K13" s="78"/>
      <c r="L13" s="69"/>
      <c r="M13" s="79">
        <f>M14+M338+M364</f>
        <v>0</v>
      </c>
      <c r="N13" s="80">
        <f>N14+N338+N364</f>
        <v>0</v>
      </c>
      <c r="O13" s="80">
        <f>O14+O338+O364</f>
        <v>0</v>
      </c>
      <c r="Q13" s="455">
        <f>+SUM(N13:O13)-M13</f>
        <v>0</v>
      </c>
      <c r="R13" s="82"/>
      <c r="T13" s="25">
        <f>SUM(T16:T359)</f>
        <v>0</v>
      </c>
      <c r="U13" s="372">
        <f>IF(N13=0,1,T13/N13)</f>
        <v>1</v>
      </c>
      <c r="V13" s="83" t="e">
        <f>W13/N13</f>
        <v>#DIV/0!</v>
      </c>
      <c r="W13" s="84">
        <f>SUM(W16:W359)</f>
        <v>0</v>
      </c>
    </row>
    <row r="14" spans="1:23" s="85" customFormat="1" ht="15" x14ac:dyDescent="0.2">
      <c r="B14" s="86">
        <v>1</v>
      </c>
      <c r="C14" s="87" t="str">
        <f ca="1">OFFSET(Sprachen!A326,0,'START, DÉBUT, INIZIO'!$D$4-1,1,1)</f>
        <v>Erstellungskosten</v>
      </c>
      <c r="D14" s="87"/>
      <c r="E14" s="87"/>
      <c r="F14" s="88"/>
      <c r="G14" s="89"/>
      <c r="H14" s="90"/>
      <c r="I14" s="91"/>
      <c r="J14" s="92"/>
      <c r="K14" s="93"/>
      <c r="L14" s="94"/>
      <c r="M14" s="95">
        <f>+M15+M86+M174+M262+M310</f>
        <v>0</v>
      </c>
      <c r="N14" s="96">
        <f>+N15+N86+N174+N262+N310</f>
        <v>0</v>
      </c>
      <c r="O14" s="96">
        <f>+O15+O86+O174+O262+O310</f>
        <v>0</v>
      </c>
      <c r="Q14" s="455">
        <f>+SUM(N14:O14)-M14</f>
        <v>0</v>
      </c>
      <c r="T14" s="97"/>
    </row>
    <row r="15" spans="1:23" s="85" customFormat="1" ht="15" x14ac:dyDescent="0.2">
      <c r="B15" s="98"/>
      <c r="C15" s="99">
        <v>10</v>
      </c>
      <c r="D15" s="99" t="str">
        <f ca="1">OFFSET(Sprachen!A327,0,'START, DÉBUT, INIZIO'!$D$4-1,1,1)</f>
        <v>Stauanlage (Staumauern, Staudämme oder Wehranlagen)</v>
      </c>
      <c r="E15" s="99"/>
      <c r="F15" s="100"/>
      <c r="G15" s="101"/>
      <c r="H15" s="102"/>
      <c r="I15" s="103"/>
      <c r="J15" s="104"/>
      <c r="K15" s="105"/>
      <c r="L15" s="106"/>
      <c r="M15" s="107">
        <f>+M16+M19+M23+M27+M31+M35+M39+M43+M47+M51+M55+M59+M63+M67+M72+M77+M82</f>
        <v>0</v>
      </c>
      <c r="N15" s="108">
        <f>+N16+N19+N23+N27+N31+N35+N39+N43+N47+N51+N55+N59+N63+N67+N72+N77+N82</f>
        <v>0</v>
      </c>
      <c r="O15" s="108">
        <f>+O16+O19+O23+O27+O31+O35+O39+O43+O47+O51+O55+O59+O63+O67+O72+O77+O82</f>
        <v>0</v>
      </c>
      <c r="Q15" s="455">
        <f>+SUM(N15:O15)-M15</f>
        <v>0</v>
      </c>
      <c r="T15" s="97"/>
    </row>
    <row r="16" spans="1:23" x14ac:dyDescent="0.2">
      <c r="B16" s="109"/>
      <c r="C16" s="110"/>
      <c r="D16" s="111">
        <v>100</v>
      </c>
      <c r="E16" s="112" t="str">
        <f ca="1">OFFSET(Sprachen!A328,0,'START, DÉBUT, INIZIO'!$D$4-1,1,1)</f>
        <v>Stauanlage (Bau)</v>
      </c>
      <c r="F16" s="113"/>
      <c r="G16" s="114">
        <v>80</v>
      </c>
      <c r="H16" s="115"/>
      <c r="I16" s="116"/>
      <c r="J16" s="117"/>
      <c r="K16" s="118"/>
      <c r="L16" s="119"/>
      <c r="M16" s="120">
        <f>+SUMPRODUCT(K17:K18,L17:L18)</f>
        <v>0</v>
      </c>
      <c r="N16" s="121">
        <f>+SUM(N17:N18)</f>
        <v>0</v>
      </c>
      <c r="O16" s="120">
        <f>+SUM(O17:O18)</f>
        <v>0</v>
      </c>
      <c r="Q16" s="455">
        <f>+SUM(N16:O16)-M16</f>
        <v>0</v>
      </c>
      <c r="R16" s="81">
        <f>SUMPRODUCT(K17:K18,L17:L18)-SUM(M17:M18)</f>
        <v>0</v>
      </c>
      <c r="T16" s="25">
        <f>G16*N16</f>
        <v>0</v>
      </c>
      <c r="V16" s="122">
        <f>(((1+$V$10)^G16)*$V$10)/(((1+$V$10)^G16)-1)</f>
        <v>4.4306137652275909E-2</v>
      </c>
      <c r="W16" s="123">
        <f>IFERROR(N16*V16,0)</f>
        <v>0</v>
      </c>
    </row>
    <row r="17" spans="2:23" s="124" customFormat="1" ht="12.75" customHeight="1" x14ac:dyDescent="0.2">
      <c r="B17" s="125"/>
      <c r="C17" s="126"/>
      <c r="D17" s="127"/>
      <c r="E17" s="885"/>
      <c r="F17" s="886"/>
      <c r="G17" s="114"/>
      <c r="H17" s="130"/>
      <c r="I17" s="131"/>
      <c r="J17" s="132"/>
      <c r="K17" s="133"/>
      <c r="L17" s="134"/>
      <c r="M17" s="497">
        <f>+L17*K17</f>
        <v>0</v>
      </c>
      <c r="N17" s="136"/>
      <c r="O17" s="135"/>
      <c r="Q17" s="137"/>
      <c r="T17" s="138"/>
    </row>
    <row r="18" spans="2:23" s="124" customFormat="1" ht="12.75" customHeight="1" x14ac:dyDescent="0.2">
      <c r="B18" s="125"/>
      <c r="C18" s="126"/>
      <c r="D18" s="127"/>
      <c r="E18" s="885"/>
      <c r="F18" s="886"/>
      <c r="G18" s="114"/>
      <c r="H18" s="140"/>
      <c r="I18" s="131"/>
      <c r="J18" s="132"/>
      <c r="K18" s="133"/>
      <c r="L18" s="134"/>
      <c r="M18" s="498">
        <f>+L18*K18</f>
        <v>0</v>
      </c>
      <c r="N18" s="136"/>
      <c r="O18" s="135"/>
      <c r="Q18" s="137"/>
      <c r="T18" s="138"/>
    </row>
    <row r="19" spans="2:23" x14ac:dyDescent="0.2">
      <c r="B19" s="109"/>
      <c r="C19" s="110"/>
      <c r="D19" s="141">
        <v>101</v>
      </c>
      <c r="E19" s="142" t="str">
        <f ca="1">OFFSET(Sprachen!A329,0,'START, DÉBUT, INIZIO'!$D$4-1,1,1)</f>
        <v>Stollen und Schächte (Erschliessung)</v>
      </c>
      <c r="F19" s="143"/>
      <c r="G19" s="114">
        <v>80</v>
      </c>
      <c r="H19" s="144"/>
      <c r="I19" s="145"/>
      <c r="J19" s="146"/>
      <c r="K19" s="147"/>
      <c r="L19" s="148"/>
      <c r="M19" s="149">
        <f>+SUMPRODUCT(K20:K22,L20:L22)</f>
        <v>0</v>
      </c>
      <c r="N19" s="121">
        <f>+SUM(N20:N22)</f>
        <v>0</v>
      </c>
      <c r="O19" s="149">
        <f>+SUM(O20:O22)</f>
        <v>0</v>
      </c>
      <c r="Q19" s="81">
        <f>+SUM(N19:O19)-M19</f>
        <v>0</v>
      </c>
      <c r="R19" s="81">
        <f>SUMPRODUCT(K20:K22,L20:L22)-SUM(M20:M22)</f>
        <v>0</v>
      </c>
      <c r="T19" s="25">
        <f>G19*N19</f>
        <v>0</v>
      </c>
      <c r="V19" s="122">
        <f>(((1+$V$10)^G19)*$V$10)/(((1+$V$10)^G19)-1)</f>
        <v>4.4306137652275909E-2</v>
      </c>
      <c r="W19" s="123">
        <f>IFERROR(N19*V19,0)</f>
        <v>0</v>
      </c>
    </row>
    <row r="20" spans="2:23" s="124" customFormat="1" ht="12.75" hidden="1" customHeight="1" x14ac:dyDescent="0.2">
      <c r="B20" s="125"/>
      <c r="C20" s="126"/>
      <c r="D20" s="127"/>
      <c r="E20" s="128"/>
      <c r="F20" s="129"/>
      <c r="G20" s="114"/>
      <c r="H20" s="130"/>
      <c r="I20" s="131"/>
      <c r="J20" s="132"/>
      <c r="K20" s="133"/>
      <c r="L20" s="134"/>
      <c r="M20" s="499">
        <f>+L20*K20</f>
        <v>0</v>
      </c>
      <c r="N20" s="136"/>
      <c r="O20" s="135"/>
      <c r="Q20" s="137"/>
      <c r="T20" s="138"/>
    </row>
    <row r="21" spans="2:23" s="124" customFormat="1" ht="12.75" customHeight="1" x14ac:dyDescent="0.2">
      <c r="B21" s="125"/>
      <c r="C21" s="126"/>
      <c r="D21" s="127"/>
      <c r="E21" s="885"/>
      <c r="F21" s="886"/>
      <c r="G21" s="114"/>
      <c r="H21" s="130"/>
      <c r="I21" s="131"/>
      <c r="J21" s="132"/>
      <c r="K21" s="133"/>
      <c r="L21" s="134"/>
      <c r="M21" s="498">
        <f>+L21*K21</f>
        <v>0</v>
      </c>
      <c r="N21" s="136"/>
      <c r="O21" s="135"/>
      <c r="Q21" s="137"/>
      <c r="T21" s="138"/>
    </row>
    <row r="22" spans="2:23" s="124" customFormat="1" ht="12.75" customHeight="1" x14ac:dyDescent="0.2">
      <c r="B22" s="125"/>
      <c r="C22" s="126"/>
      <c r="D22" s="127"/>
      <c r="E22" s="885"/>
      <c r="F22" s="886"/>
      <c r="G22" s="114"/>
      <c r="H22" s="130"/>
      <c r="I22" s="131"/>
      <c r="J22" s="132"/>
      <c r="K22" s="133"/>
      <c r="L22" s="134"/>
      <c r="M22" s="498">
        <f>+L22*K22</f>
        <v>0</v>
      </c>
      <c r="N22" s="136"/>
      <c r="O22" s="135"/>
      <c r="Q22" s="137"/>
      <c r="T22" s="138"/>
    </row>
    <row r="23" spans="2:23" x14ac:dyDescent="0.2">
      <c r="B23" s="109"/>
      <c r="C23" s="110"/>
      <c r="D23" s="141">
        <v>102</v>
      </c>
      <c r="E23" s="142" t="str">
        <f ca="1">OFFSET(Sprachen!A330,0,'START, DÉBUT, INIZIO'!$D$4-1,1,1)</f>
        <v>Kanäle (Nebenanlagen)</v>
      </c>
      <c r="F23" s="143"/>
      <c r="G23" s="114">
        <v>80</v>
      </c>
      <c r="H23" s="144"/>
      <c r="I23" s="145"/>
      <c r="J23" s="146"/>
      <c r="K23" s="147"/>
      <c r="L23" s="148"/>
      <c r="M23" s="149">
        <f>+SUMPRODUCT(K24:K26,L24:L26)</f>
        <v>0</v>
      </c>
      <c r="N23" s="121">
        <f>+SUM(N24:N26)</f>
        <v>0</v>
      </c>
      <c r="O23" s="149">
        <f>+SUM(O24:O26)</f>
        <v>0</v>
      </c>
      <c r="Q23" s="81">
        <f>+SUM(N23:O23)-M23</f>
        <v>0</v>
      </c>
      <c r="R23" s="81">
        <f>SUMPRODUCT(K24:K26,L24:L26)-SUM(M24:M26)</f>
        <v>0</v>
      </c>
      <c r="T23" s="25">
        <f>G23*N23</f>
        <v>0</v>
      </c>
      <c r="V23" s="122">
        <f>(((1+$V$10)^G23)*$V$10)/(((1+$V$10)^G23)-1)</f>
        <v>4.4306137652275909E-2</v>
      </c>
      <c r="W23" s="123">
        <f>IFERROR(N23*V23,0)</f>
        <v>0</v>
      </c>
    </row>
    <row r="24" spans="2:23" s="124" customFormat="1" ht="12.75" hidden="1" customHeight="1" x14ac:dyDescent="0.2">
      <c r="B24" s="125"/>
      <c r="C24" s="126"/>
      <c r="D24" s="127"/>
      <c r="E24" s="128"/>
      <c r="F24" s="129"/>
      <c r="G24" s="114"/>
      <c r="H24" s="130"/>
      <c r="I24" s="131"/>
      <c r="J24" s="132"/>
      <c r="K24" s="133"/>
      <c r="L24" s="134"/>
      <c r="M24" s="499">
        <f>+L24*K24</f>
        <v>0</v>
      </c>
      <c r="N24" s="136"/>
      <c r="O24" s="135"/>
      <c r="Q24" s="137"/>
      <c r="T24" s="138"/>
    </row>
    <row r="25" spans="2:23" s="124" customFormat="1" ht="12.75" customHeight="1" x14ac:dyDescent="0.2">
      <c r="B25" s="125"/>
      <c r="C25" s="126"/>
      <c r="D25" s="127"/>
      <c r="E25" s="885"/>
      <c r="F25" s="886"/>
      <c r="G25" s="114"/>
      <c r="H25" s="130"/>
      <c r="I25" s="131"/>
      <c r="J25" s="132"/>
      <c r="K25" s="133"/>
      <c r="L25" s="134"/>
      <c r="M25" s="498">
        <f>+L25*K25</f>
        <v>0</v>
      </c>
      <c r="N25" s="136"/>
      <c r="O25" s="135"/>
      <c r="Q25" s="137"/>
      <c r="T25" s="138"/>
    </row>
    <row r="26" spans="2:23" s="124" customFormat="1" ht="12.75" customHeight="1" x14ac:dyDescent="0.2">
      <c r="B26" s="125"/>
      <c r="C26" s="126"/>
      <c r="D26" s="127"/>
      <c r="E26" s="885"/>
      <c r="F26" s="886"/>
      <c r="G26" s="114"/>
      <c r="H26" s="130"/>
      <c r="I26" s="131"/>
      <c r="J26" s="132"/>
      <c r="K26" s="133"/>
      <c r="L26" s="134"/>
      <c r="M26" s="498">
        <f>+L26*K26</f>
        <v>0</v>
      </c>
      <c r="N26" s="136"/>
      <c r="O26" s="135"/>
      <c r="Q26" s="137"/>
      <c r="T26" s="138"/>
    </row>
    <row r="27" spans="2:23" x14ac:dyDescent="0.2">
      <c r="B27" s="109"/>
      <c r="C27" s="110"/>
      <c r="D27" s="141">
        <v>103</v>
      </c>
      <c r="E27" s="142" t="str">
        <f ca="1">OFFSET(Sprachen!A331,0,'START, DÉBUT, INIZIO'!$D$4-1,1,1)</f>
        <v>Freispiegelleitung (Nebenanlagen)</v>
      </c>
      <c r="F27" s="143"/>
      <c r="G27" s="114" t="s">
        <v>42</v>
      </c>
      <c r="H27" s="144"/>
      <c r="I27" s="145"/>
      <c r="J27" s="146"/>
      <c r="K27" s="147"/>
      <c r="L27" s="148"/>
      <c r="M27" s="149">
        <f>+SUMPRODUCT(K28:K30,L28:L30)</f>
        <v>0</v>
      </c>
      <c r="N27" s="121">
        <f>+SUM(N28:N30)</f>
        <v>0</v>
      </c>
      <c r="O27" s="149">
        <f>+SUM(O28:O30)</f>
        <v>0</v>
      </c>
      <c r="Q27" s="81">
        <f>+SUM(N27:O27)-M27</f>
        <v>0</v>
      </c>
      <c r="R27" s="81">
        <f>SUMPRODUCT(K28:K30,L28:L30)-SUM(M28:M30)</f>
        <v>0</v>
      </c>
      <c r="T27" s="25">
        <f>G27*N27</f>
        <v>0</v>
      </c>
      <c r="V27" s="122">
        <f>(((1+$V$10)^G27)*$V$10)/(((1+$V$10)^G27)-1)</f>
        <v>4.8762830809163174E-2</v>
      </c>
      <c r="W27" s="123">
        <f>IFERROR(N27*V27,0)</f>
        <v>0</v>
      </c>
    </row>
    <row r="28" spans="2:23" s="124" customFormat="1" ht="12.75" hidden="1" customHeight="1" x14ac:dyDescent="0.2">
      <c r="B28" s="125"/>
      <c r="C28" s="126"/>
      <c r="D28" s="127"/>
      <c r="E28" s="128"/>
      <c r="F28" s="129"/>
      <c r="G28" s="114"/>
      <c r="H28" s="130"/>
      <c r="I28" s="131"/>
      <c r="J28" s="132"/>
      <c r="K28" s="133"/>
      <c r="L28" s="134"/>
      <c r="M28" s="499">
        <f>+L28*K28</f>
        <v>0</v>
      </c>
      <c r="N28" s="136"/>
      <c r="O28" s="135"/>
      <c r="Q28" s="137"/>
      <c r="T28" s="138"/>
    </row>
    <row r="29" spans="2:23" s="124" customFormat="1" ht="12.75" x14ac:dyDescent="0.2">
      <c r="B29" s="125"/>
      <c r="C29" s="126"/>
      <c r="D29" s="127"/>
      <c r="E29" s="885"/>
      <c r="F29" s="886"/>
      <c r="G29" s="114"/>
      <c r="H29" s="130"/>
      <c r="I29" s="131"/>
      <c r="J29" s="132"/>
      <c r="K29" s="133"/>
      <c r="L29" s="134"/>
      <c r="M29" s="498">
        <f>+L29*K29</f>
        <v>0</v>
      </c>
      <c r="N29" s="136"/>
      <c r="O29" s="135"/>
      <c r="Q29" s="137"/>
      <c r="T29" s="138"/>
    </row>
    <row r="30" spans="2:23" s="124" customFormat="1" ht="12.75" x14ac:dyDescent="0.2">
      <c r="B30" s="125"/>
      <c r="C30" s="126"/>
      <c r="D30" s="127"/>
      <c r="E30" s="885"/>
      <c r="F30" s="886"/>
      <c r="G30" s="114"/>
      <c r="H30" s="130"/>
      <c r="I30" s="131"/>
      <c r="J30" s="132"/>
      <c r="K30" s="133"/>
      <c r="L30" s="134"/>
      <c r="M30" s="498">
        <f>+L30*K30</f>
        <v>0</v>
      </c>
      <c r="N30" s="136"/>
      <c r="O30" s="135"/>
      <c r="Q30" s="137"/>
      <c r="T30" s="138"/>
    </row>
    <row r="31" spans="2:23" x14ac:dyDescent="0.2">
      <c r="B31" s="109"/>
      <c r="C31" s="110"/>
      <c r="D31" s="141">
        <v>104</v>
      </c>
      <c r="E31" s="142" t="str">
        <f ca="1">OFFSET(Sprachen!A332,0,'START, DÉBUT, INIZIO'!$D$4-1,1,1)</f>
        <v>Stollen Wasserweg (Nebenanlagen)</v>
      </c>
      <c r="F31" s="143"/>
      <c r="G31" s="114" t="s">
        <v>43</v>
      </c>
      <c r="H31" s="144"/>
      <c r="I31" s="145"/>
      <c r="J31" s="146"/>
      <c r="K31" s="147"/>
      <c r="L31" s="148"/>
      <c r="M31" s="149">
        <f>+SUMPRODUCT(K32:K34,L32:L34)</f>
        <v>0</v>
      </c>
      <c r="N31" s="121">
        <f>+SUM(N32:N34)</f>
        <v>0</v>
      </c>
      <c r="O31" s="149">
        <f>+SUM(O32:O34)</f>
        <v>0</v>
      </c>
      <c r="Q31" s="81">
        <f>+SUM(N31:O31)-M31</f>
        <v>0</v>
      </c>
      <c r="R31" s="81">
        <f>SUMPRODUCT(K32:K34,L32:L34)-SUM(M32:M34)</f>
        <v>0</v>
      </c>
      <c r="T31" s="25">
        <f>G31*N31</f>
        <v>0</v>
      </c>
      <c r="V31" s="122">
        <f>(((1+$V$10)^G31)*$V$10)/(((1+$V$10)^G31)-1)</f>
        <v>4.4306137652275909E-2</v>
      </c>
      <c r="W31" s="123">
        <f>IFERROR(N31*V31,0)</f>
        <v>0</v>
      </c>
    </row>
    <row r="32" spans="2:23" s="124" customFormat="1" ht="12.75" hidden="1" customHeight="1" x14ac:dyDescent="0.2">
      <c r="B32" s="125"/>
      <c r="C32" s="126"/>
      <c r="D32" s="127"/>
      <c r="E32" s="128"/>
      <c r="F32" s="129"/>
      <c r="G32" s="114"/>
      <c r="H32" s="130"/>
      <c r="I32" s="131"/>
      <c r="J32" s="132"/>
      <c r="K32" s="133"/>
      <c r="L32" s="134"/>
      <c r="M32" s="499">
        <f>+L32*K32</f>
        <v>0</v>
      </c>
      <c r="N32" s="136"/>
      <c r="O32" s="135"/>
      <c r="Q32" s="137"/>
      <c r="T32" s="138"/>
    </row>
    <row r="33" spans="2:23" s="124" customFormat="1" ht="12.75" x14ac:dyDescent="0.2">
      <c r="B33" s="125"/>
      <c r="C33" s="126"/>
      <c r="D33" s="127"/>
      <c r="E33" s="885"/>
      <c r="F33" s="886"/>
      <c r="G33" s="114"/>
      <c r="H33" s="130"/>
      <c r="I33" s="131"/>
      <c r="J33" s="132"/>
      <c r="K33" s="133"/>
      <c r="L33" s="134"/>
      <c r="M33" s="498">
        <f>+L33*K33</f>
        <v>0</v>
      </c>
      <c r="N33" s="136"/>
      <c r="O33" s="135"/>
      <c r="Q33" s="137"/>
      <c r="T33" s="138"/>
    </row>
    <row r="34" spans="2:23" s="124" customFormat="1" ht="12.75" x14ac:dyDescent="0.2">
      <c r="B34" s="125"/>
      <c r="C34" s="126"/>
      <c r="D34" s="127"/>
      <c r="E34" s="885"/>
      <c r="F34" s="886"/>
      <c r="G34" s="114"/>
      <c r="H34" s="130"/>
      <c r="I34" s="131"/>
      <c r="J34" s="132"/>
      <c r="K34" s="133"/>
      <c r="L34" s="134"/>
      <c r="M34" s="498">
        <f>+L34*K34</f>
        <v>0</v>
      </c>
      <c r="N34" s="136"/>
      <c r="O34" s="135"/>
      <c r="Q34" s="137"/>
      <c r="T34" s="138"/>
    </row>
    <row r="35" spans="2:23" x14ac:dyDescent="0.2">
      <c r="B35" s="109"/>
      <c r="C35" s="110"/>
      <c r="D35" s="141">
        <v>105</v>
      </c>
      <c r="E35" s="142" t="str">
        <f ca="1">OFFSET(Sprachen!A333,0,'START, DÉBUT, INIZIO'!$D$4-1,1,1)</f>
        <v>Schächte Wasserweg (Nebenanlagen)</v>
      </c>
      <c r="F35" s="143"/>
      <c r="G35" s="114" t="s">
        <v>43</v>
      </c>
      <c r="H35" s="144"/>
      <c r="I35" s="145"/>
      <c r="J35" s="146"/>
      <c r="K35" s="147"/>
      <c r="L35" s="148"/>
      <c r="M35" s="149">
        <f>+SUMPRODUCT(K36:K38,L36:L38)</f>
        <v>0</v>
      </c>
      <c r="N35" s="121">
        <f>+SUM(N36:N38)</f>
        <v>0</v>
      </c>
      <c r="O35" s="149">
        <f>+SUM(O36:O38)</f>
        <v>0</v>
      </c>
      <c r="Q35" s="81">
        <f>+SUM(N35:O35)-M35</f>
        <v>0</v>
      </c>
      <c r="R35" s="81">
        <f>SUMPRODUCT(K36:K38,L36:L38)-SUM(M36:M38)</f>
        <v>0</v>
      </c>
      <c r="T35" s="25">
        <f>G35*N35</f>
        <v>0</v>
      </c>
      <c r="V35" s="122">
        <f>(((1+$V$10)^G35)*$V$10)/(((1+$V$10)^G35)-1)</f>
        <v>4.4306137652275909E-2</v>
      </c>
      <c r="W35" s="123">
        <f>IFERROR(N35*V35,0)</f>
        <v>0</v>
      </c>
    </row>
    <row r="36" spans="2:23" s="124" customFormat="1" ht="12.75" hidden="1" customHeight="1" x14ac:dyDescent="0.2">
      <c r="B36" s="125"/>
      <c r="C36" s="126"/>
      <c r="D36" s="127"/>
      <c r="E36" s="128"/>
      <c r="F36" s="129"/>
      <c r="G36" s="114"/>
      <c r="H36" s="130"/>
      <c r="I36" s="131"/>
      <c r="J36" s="132"/>
      <c r="K36" s="133"/>
      <c r="L36" s="134"/>
      <c r="M36" s="499">
        <f>+L36*K36</f>
        <v>0</v>
      </c>
      <c r="N36" s="136"/>
      <c r="O36" s="135"/>
      <c r="Q36" s="137"/>
      <c r="T36" s="138"/>
    </row>
    <row r="37" spans="2:23" s="124" customFormat="1" ht="12.75" x14ac:dyDescent="0.2">
      <c r="B37" s="125"/>
      <c r="C37" s="126"/>
      <c r="D37" s="127"/>
      <c r="E37" s="885"/>
      <c r="F37" s="886"/>
      <c r="G37" s="114"/>
      <c r="H37" s="130"/>
      <c r="I37" s="131"/>
      <c r="J37" s="132"/>
      <c r="K37" s="133"/>
      <c r="L37" s="134"/>
      <c r="M37" s="498">
        <f>+L37*K37</f>
        <v>0</v>
      </c>
      <c r="N37" s="136"/>
      <c r="O37" s="135"/>
      <c r="Q37" s="137"/>
      <c r="T37" s="138"/>
    </row>
    <row r="38" spans="2:23" s="124" customFormat="1" ht="12.75" x14ac:dyDescent="0.2">
      <c r="B38" s="125"/>
      <c r="C38" s="126"/>
      <c r="D38" s="127"/>
      <c r="E38" s="885"/>
      <c r="F38" s="886"/>
      <c r="G38" s="114"/>
      <c r="H38" s="130"/>
      <c r="I38" s="131"/>
      <c r="J38" s="132"/>
      <c r="K38" s="133"/>
      <c r="L38" s="134"/>
      <c r="M38" s="498">
        <f>+L38*K38</f>
        <v>0</v>
      </c>
      <c r="N38" s="136"/>
      <c r="O38" s="135"/>
      <c r="Q38" s="137"/>
      <c r="T38" s="138"/>
    </row>
    <row r="39" spans="2:23" x14ac:dyDescent="0.2">
      <c r="B39" s="109"/>
      <c r="C39" s="110"/>
      <c r="D39" s="141">
        <v>106</v>
      </c>
      <c r="E39" s="142" t="str">
        <f ca="1">OFFSET(Sprachen!A334,0,'START, DÉBUT, INIZIO'!$D$4-1,1,1)</f>
        <v>Druckrohrleitung (Nebenanlagen)</v>
      </c>
      <c r="F39" s="143"/>
      <c r="G39" s="114" t="s">
        <v>42</v>
      </c>
      <c r="H39" s="144"/>
      <c r="I39" s="145"/>
      <c r="J39" s="146"/>
      <c r="K39" s="147"/>
      <c r="L39" s="148"/>
      <c r="M39" s="149">
        <f>+SUMPRODUCT(K40:K42,L40:L42)</f>
        <v>0</v>
      </c>
      <c r="N39" s="121">
        <f>+SUM(N40:N42)</f>
        <v>0</v>
      </c>
      <c r="O39" s="149">
        <f>+SUM(O40:O42)</f>
        <v>0</v>
      </c>
      <c r="Q39" s="81">
        <f>+SUM(N39:O39)-M39</f>
        <v>0</v>
      </c>
      <c r="R39" s="81">
        <f>SUMPRODUCT(K40:K42,L40:L42)-SUM(M40:M42)</f>
        <v>0</v>
      </c>
      <c r="T39" s="25">
        <f>G39*N39</f>
        <v>0</v>
      </c>
      <c r="V39" s="122">
        <f>(((1+$V$10)^G39)*$V$10)/(((1+$V$10)^G39)-1)</f>
        <v>4.8762830809163174E-2</v>
      </c>
      <c r="W39" s="123">
        <f>IFERROR(N39*V39,0)</f>
        <v>0</v>
      </c>
    </row>
    <row r="40" spans="2:23" s="124" customFormat="1" ht="12.75" hidden="1" customHeight="1" x14ac:dyDescent="0.2">
      <c r="B40" s="125"/>
      <c r="C40" s="126"/>
      <c r="D40" s="127"/>
      <c r="E40" s="128"/>
      <c r="F40" s="129"/>
      <c r="G40" s="114"/>
      <c r="H40" s="130"/>
      <c r="I40" s="131"/>
      <c r="J40" s="132"/>
      <c r="K40" s="133"/>
      <c r="L40" s="134"/>
      <c r="M40" s="499">
        <f>+L40*K40</f>
        <v>0</v>
      </c>
      <c r="N40" s="136"/>
      <c r="O40" s="135"/>
      <c r="Q40" s="137"/>
      <c r="T40" s="138"/>
    </row>
    <row r="41" spans="2:23" s="124" customFormat="1" ht="12.75" x14ac:dyDescent="0.2">
      <c r="B41" s="125"/>
      <c r="C41" s="126"/>
      <c r="D41" s="127"/>
      <c r="E41" s="885"/>
      <c r="F41" s="886"/>
      <c r="G41" s="114"/>
      <c r="H41" s="130"/>
      <c r="I41" s="131"/>
      <c r="J41" s="132"/>
      <c r="K41" s="133"/>
      <c r="L41" s="134"/>
      <c r="M41" s="498">
        <f>+L41*K41</f>
        <v>0</v>
      </c>
      <c r="N41" s="136"/>
      <c r="O41" s="135"/>
      <c r="Q41" s="137"/>
      <c r="T41" s="138"/>
    </row>
    <row r="42" spans="2:23" s="124" customFormat="1" ht="12.75" x14ac:dyDescent="0.2">
      <c r="B42" s="125"/>
      <c r="C42" s="126"/>
      <c r="D42" s="127"/>
      <c r="E42" s="885"/>
      <c r="F42" s="886"/>
      <c r="G42" s="114"/>
      <c r="H42" s="130"/>
      <c r="I42" s="131"/>
      <c r="J42" s="132"/>
      <c r="K42" s="133"/>
      <c r="L42" s="134"/>
      <c r="M42" s="498">
        <f>+L42*K42</f>
        <v>0</v>
      </c>
      <c r="N42" s="136"/>
      <c r="O42" s="135"/>
      <c r="Q42" s="137"/>
      <c r="T42" s="138"/>
    </row>
    <row r="43" spans="2:23" x14ac:dyDescent="0.2">
      <c r="B43" s="109"/>
      <c r="C43" s="110"/>
      <c r="D43" s="141">
        <v>107</v>
      </c>
      <c r="E43" s="142" t="str">
        <f ca="1">OFFSET(Sprachen!A335,0,'START, DÉBUT, INIZIO'!$D$4-1,1,1)</f>
        <v>Fassungsbauwerk</v>
      </c>
      <c r="F43" s="143"/>
      <c r="G43" s="114" t="s">
        <v>43</v>
      </c>
      <c r="H43" s="144"/>
      <c r="I43" s="150"/>
      <c r="J43" s="151"/>
      <c r="K43" s="152"/>
      <c r="L43" s="153"/>
      <c r="M43" s="149">
        <f>+SUMPRODUCT(K44:K46,L44:L46)</f>
        <v>0</v>
      </c>
      <c r="N43" s="121">
        <f>+SUM(N44:N46)</f>
        <v>0</v>
      </c>
      <c r="O43" s="149">
        <f>+SUM(O44:O46)</f>
        <v>0</v>
      </c>
      <c r="Q43" s="81">
        <f>+SUM(N43:O43)-M43</f>
        <v>0</v>
      </c>
      <c r="R43" s="81">
        <f>SUMPRODUCT(K44:K46,L44:L46)-SUM(M44:M46)</f>
        <v>0</v>
      </c>
      <c r="T43" s="25">
        <f>G43*N43</f>
        <v>0</v>
      </c>
      <c r="V43" s="122">
        <f>(((1+$V$10)^G43)*$V$10)/(((1+$V$10)^G43)-1)</f>
        <v>4.4306137652275909E-2</v>
      </c>
      <c r="W43" s="123">
        <f>IFERROR(N43*V43,0)</f>
        <v>0</v>
      </c>
    </row>
    <row r="44" spans="2:23" s="124" customFormat="1" ht="12.75" hidden="1" customHeight="1" x14ac:dyDescent="0.2">
      <c r="B44" s="125"/>
      <c r="C44" s="126"/>
      <c r="D44" s="127"/>
      <c r="E44" s="128"/>
      <c r="F44" s="129"/>
      <c r="G44" s="114"/>
      <c r="H44" s="130"/>
      <c r="I44" s="131"/>
      <c r="J44" s="132"/>
      <c r="K44" s="133"/>
      <c r="L44" s="134"/>
      <c r="M44" s="499">
        <f>+L44*K44</f>
        <v>0</v>
      </c>
      <c r="N44" s="136"/>
      <c r="O44" s="135"/>
      <c r="Q44" s="137"/>
      <c r="T44" s="138"/>
    </row>
    <row r="45" spans="2:23" s="124" customFormat="1" ht="12.75" x14ac:dyDescent="0.2">
      <c r="B45" s="125"/>
      <c r="C45" s="126"/>
      <c r="D45" s="127"/>
      <c r="E45" s="885"/>
      <c r="F45" s="886"/>
      <c r="G45" s="114"/>
      <c r="H45" s="130"/>
      <c r="I45" s="131"/>
      <c r="J45" s="132"/>
      <c r="K45" s="133"/>
      <c r="L45" s="134"/>
      <c r="M45" s="498">
        <f>+L45*K45</f>
        <v>0</v>
      </c>
      <c r="N45" s="136"/>
      <c r="O45" s="135"/>
      <c r="Q45" s="137"/>
      <c r="T45" s="138"/>
    </row>
    <row r="46" spans="2:23" s="124" customFormat="1" ht="12.75" x14ac:dyDescent="0.2">
      <c r="B46" s="125"/>
      <c r="C46" s="126"/>
      <c r="D46" s="127"/>
      <c r="E46" s="885"/>
      <c r="F46" s="886"/>
      <c r="G46" s="114"/>
      <c r="H46" s="130"/>
      <c r="I46" s="131"/>
      <c r="J46" s="132"/>
      <c r="K46" s="133"/>
      <c r="L46" s="134"/>
      <c r="M46" s="498">
        <f>+L46*K46</f>
        <v>0</v>
      </c>
      <c r="N46" s="136"/>
      <c r="O46" s="135"/>
      <c r="Q46" s="137"/>
      <c r="T46" s="138"/>
    </row>
    <row r="47" spans="2:23" x14ac:dyDescent="0.2">
      <c r="B47" s="109"/>
      <c r="C47" s="110"/>
      <c r="D47" s="141">
        <v>108</v>
      </c>
      <c r="E47" s="142" t="str">
        <f ca="1">OFFSET(Sprachen!A336,0,'START, DÉBUT, INIZIO'!$D$4-1,1,1)</f>
        <v>Rechen und/oder Rechenreinigungsanlage</v>
      </c>
      <c r="F47" s="143"/>
      <c r="G47" s="114" t="s">
        <v>44</v>
      </c>
      <c r="H47" s="144"/>
      <c r="I47" s="150"/>
      <c r="J47" s="151"/>
      <c r="K47" s="152"/>
      <c r="L47" s="153"/>
      <c r="M47" s="149">
        <f>+SUMPRODUCT(K48:K50,L48:L50)</f>
        <v>0</v>
      </c>
      <c r="N47" s="121">
        <f>+SUM(N48:N50)</f>
        <v>0</v>
      </c>
      <c r="O47" s="149">
        <f>+SUM(O48:O50)</f>
        <v>0</v>
      </c>
      <c r="Q47" s="81">
        <f>+SUM(N47:O47)-M47</f>
        <v>0</v>
      </c>
      <c r="R47" s="81">
        <f>SUMPRODUCT(K48:K50,L48:L50)-SUM(M48:M50)</f>
        <v>0</v>
      </c>
      <c r="T47" s="25">
        <f>G47*N47</f>
        <v>0</v>
      </c>
      <c r="V47" s="122">
        <f>(((1+$V$10)^G47)*$V$10)/(((1+$V$10)^G47)-1)</f>
        <v>5.2609537499785704E-2</v>
      </c>
      <c r="W47" s="123">
        <f>IFERROR(N47*V47,0)</f>
        <v>0</v>
      </c>
    </row>
    <row r="48" spans="2:23" s="124" customFormat="1" ht="12.75" hidden="1" customHeight="1" x14ac:dyDescent="0.2">
      <c r="B48" s="125"/>
      <c r="C48" s="126"/>
      <c r="D48" s="127"/>
      <c r="E48" s="128"/>
      <c r="F48" s="129"/>
      <c r="G48" s="114"/>
      <c r="H48" s="130"/>
      <c r="I48" s="131"/>
      <c r="J48" s="132"/>
      <c r="K48" s="133"/>
      <c r="L48" s="134"/>
      <c r="M48" s="499">
        <f>+L48*K48</f>
        <v>0</v>
      </c>
      <c r="N48" s="136"/>
      <c r="O48" s="135"/>
      <c r="Q48" s="137"/>
      <c r="T48" s="138"/>
    </row>
    <row r="49" spans="2:23" s="124" customFormat="1" ht="12.75" x14ac:dyDescent="0.2">
      <c r="B49" s="125"/>
      <c r="C49" s="126"/>
      <c r="D49" s="127"/>
      <c r="E49" s="885"/>
      <c r="F49" s="886"/>
      <c r="G49" s="114"/>
      <c r="H49" s="130"/>
      <c r="I49" s="131"/>
      <c r="J49" s="132"/>
      <c r="K49" s="133"/>
      <c r="L49" s="134"/>
      <c r="M49" s="498">
        <f>+L49*K49</f>
        <v>0</v>
      </c>
      <c r="N49" s="136"/>
      <c r="O49" s="135"/>
      <c r="Q49" s="137"/>
      <c r="T49" s="138"/>
    </row>
    <row r="50" spans="2:23" s="124" customFormat="1" ht="12.75" x14ac:dyDescent="0.2">
      <c r="B50" s="125"/>
      <c r="C50" s="126"/>
      <c r="D50" s="127"/>
      <c r="E50" s="885"/>
      <c r="F50" s="886"/>
      <c r="G50" s="114"/>
      <c r="H50" s="130"/>
      <c r="I50" s="131"/>
      <c r="J50" s="132"/>
      <c r="K50" s="133"/>
      <c r="L50" s="134"/>
      <c r="M50" s="498">
        <f>+L50*K50</f>
        <v>0</v>
      </c>
      <c r="N50" s="136"/>
      <c r="O50" s="135"/>
      <c r="Q50" s="137"/>
      <c r="T50" s="138"/>
    </row>
    <row r="51" spans="2:23" x14ac:dyDescent="0.2">
      <c r="B51" s="109"/>
      <c r="C51" s="110"/>
      <c r="D51" s="141">
        <v>109</v>
      </c>
      <c r="E51" s="142" t="str">
        <f ca="1">OFFSET(Sprachen!A337,0,'START, DÉBUT, INIZIO'!$D$4-1,1,1)</f>
        <v>Absperrorg. (Schützen, Schieber, Drosselkl., Kugelschieber)</v>
      </c>
      <c r="F51" s="143"/>
      <c r="G51" s="114" t="s">
        <v>44</v>
      </c>
      <c r="H51" s="144"/>
      <c r="I51" s="150"/>
      <c r="J51" s="151"/>
      <c r="K51" s="152"/>
      <c r="L51" s="153"/>
      <c r="M51" s="149">
        <f>+SUMPRODUCT(K52:K54,L52:L54)</f>
        <v>0</v>
      </c>
      <c r="N51" s="121">
        <f>+SUM(N52:N54)</f>
        <v>0</v>
      </c>
      <c r="O51" s="149">
        <f>+SUM(O52:O54)</f>
        <v>0</v>
      </c>
      <c r="Q51" s="81">
        <f>+SUM(N51:O51)-M51</f>
        <v>0</v>
      </c>
      <c r="R51" s="81">
        <f>SUMPRODUCT(K52:K54,L52:L54)-SUM(M52:M54)</f>
        <v>0</v>
      </c>
      <c r="T51" s="25">
        <f>G51*N51</f>
        <v>0</v>
      </c>
      <c r="V51" s="122">
        <f>(((1+$V$10)^G51)*$V$10)/(((1+$V$10)^G51)-1)</f>
        <v>5.2609537499785704E-2</v>
      </c>
      <c r="W51" s="123">
        <f>IFERROR(N51*V51,0)</f>
        <v>0</v>
      </c>
    </row>
    <row r="52" spans="2:23" s="124" customFormat="1" ht="12.75" hidden="1" customHeight="1" x14ac:dyDescent="0.2">
      <c r="B52" s="125"/>
      <c r="C52" s="126"/>
      <c r="D52" s="127"/>
      <c r="E52" s="128"/>
      <c r="F52" s="129"/>
      <c r="G52" s="114"/>
      <c r="H52" s="130"/>
      <c r="I52" s="131"/>
      <c r="J52" s="132"/>
      <c r="K52" s="133"/>
      <c r="L52" s="134"/>
      <c r="M52" s="499">
        <f>+L52*K52</f>
        <v>0</v>
      </c>
      <c r="N52" s="136"/>
      <c r="O52" s="135"/>
      <c r="Q52" s="137"/>
      <c r="T52" s="138"/>
    </row>
    <row r="53" spans="2:23" s="124" customFormat="1" ht="12.75" x14ac:dyDescent="0.2">
      <c r="B53" s="125"/>
      <c r="C53" s="126"/>
      <c r="D53" s="127"/>
      <c r="E53" s="885"/>
      <c r="F53" s="886"/>
      <c r="G53" s="114"/>
      <c r="H53" s="130"/>
      <c r="I53" s="131"/>
      <c r="J53" s="132"/>
      <c r="K53" s="133"/>
      <c r="L53" s="134"/>
      <c r="M53" s="498">
        <f>+L53*K53</f>
        <v>0</v>
      </c>
      <c r="N53" s="136"/>
      <c r="O53" s="135"/>
      <c r="Q53" s="137"/>
      <c r="T53" s="138"/>
    </row>
    <row r="54" spans="2:23" s="124" customFormat="1" ht="12.75" customHeight="1" x14ac:dyDescent="0.2">
      <c r="B54" s="125"/>
      <c r="C54" s="126"/>
      <c r="D54" s="127"/>
      <c r="E54" s="885"/>
      <c r="F54" s="886"/>
      <c r="G54" s="114"/>
      <c r="H54" s="130"/>
      <c r="I54" s="131"/>
      <c r="J54" s="132"/>
      <c r="K54" s="133"/>
      <c r="L54" s="134"/>
      <c r="M54" s="498">
        <f>+L54*K54</f>
        <v>0</v>
      </c>
      <c r="N54" s="136"/>
      <c r="O54" s="135"/>
      <c r="Q54" s="137"/>
      <c r="T54" s="138"/>
    </row>
    <row r="55" spans="2:23" x14ac:dyDescent="0.2">
      <c r="B55" s="109"/>
      <c r="C55" s="110"/>
      <c r="D55" s="141">
        <v>110</v>
      </c>
      <c r="E55" s="142" t="str">
        <f ca="1">OFFSET(Sprachen!A338,0,'START, DÉBUT, INIZIO'!$D$4-1,1,1)</f>
        <v>Hebezeuge und Hilfseinrichtungen</v>
      </c>
      <c r="F55" s="143"/>
      <c r="G55" s="114" t="s">
        <v>45</v>
      </c>
      <c r="H55" s="144"/>
      <c r="I55" s="150"/>
      <c r="J55" s="151"/>
      <c r="K55" s="152"/>
      <c r="L55" s="153"/>
      <c r="M55" s="149">
        <f>+SUMPRODUCT(K56:K58,L56:L58)</f>
        <v>0</v>
      </c>
      <c r="N55" s="121">
        <f>+SUM(N56:N58)</f>
        <v>0</v>
      </c>
      <c r="O55" s="149">
        <f>+SUM(O56:O58)</f>
        <v>0</v>
      </c>
      <c r="Q55" s="81">
        <f>+SUM(N55:O55)-M55</f>
        <v>0</v>
      </c>
      <c r="R55" s="81">
        <f>SUMPRODUCT(K56:K58,L56:L58)-SUM(M56:M58)</f>
        <v>0</v>
      </c>
      <c r="T55" s="25">
        <f>G55*N55</f>
        <v>0</v>
      </c>
      <c r="V55" s="122">
        <f>(((1+$V$10)^G55)*$V$10)/(((1+$V$10)^G55)-1)</f>
        <v>5.9776453108272141E-2</v>
      </c>
      <c r="W55" s="123">
        <f>IFERROR(N55*V55,0)</f>
        <v>0</v>
      </c>
    </row>
    <row r="56" spans="2:23" s="124" customFormat="1" ht="12.75" hidden="1" customHeight="1" x14ac:dyDescent="0.2">
      <c r="B56" s="125"/>
      <c r="C56" s="126"/>
      <c r="D56" s="127"/>
      <c r="E56" s="128"/>
      <c r="F56" s="129"/>
      <c r="G56" s="114"/>
      <c r="H56" s="130"/>
      <c r="I56" s="131"/>
      <c r="J56" s="132"/>
      <c r="K56" s="133"/>
      <c r="L56" s="134"/>
      <c r="M56" s="499">
        <f>+L56*K56</f>
        <v>0</v>
      </c>
      <c r="N56" s="136"/>
      <c r="O56" s="135"/>
      <c r="Q56" s="137"/>
      <c r="T56" s="138"/>
    </row>
    <row r="57" spans="2:23" s="124" customFormat="1" ht="12.75" x14ac:dyDescent="0.2">
      <c r="B57" s="125"/>
      <c r="C57" s="126"/>
      <c r="D57" s="127"/>
      <c r="E57" s="885"/>
      <c r="F57" s="886"/>
      <c r="G57" s="114"/>
      <c r="H57" s="130"/>
      <c r="I57" s="131"/>
      <c r="J57" s="132"/>
      <c r="K57" s="133"/>
      <c r="L57" s="134"/>
      <c r="M57" s="498">
        <f>+L57*K57</f>
        <v>0</v>
      </c>
      <c r="N57" s="136"/>
      <c r="O57" s="135"/>
      <c r="Q57" s="137"/>
      <c r="T57" s="138"/>
    </row>
    <row r="58" spans="2:23" s="124" customFormat="1" ht="12.75" x14ac:dyDescent="0.2">
      <c r="B58" s="125"/>
      <c r="C58" s="126"/>
      <c r="D58" s="127"/>
      <c r="E58" s="885"/>
      <c r="F58" s="886"/>
      <c r="G58" s="114"/>
      <c r="H58" s="130"/>
      <c r="I58" s="131"/>
      <c r="J58" s="132"/>
      <c r="K58" s="133"/>
      <c r="L58" s="134"/>
      <c r="M58" s="498">
        <f>+L58*K58</f>
        <v>0</v>
      </c>
      <c r="N58" s="136"/>
      <c r="O58" s="135"/>
      <c r="Q58" s="137"/>
      <c r="T58" s="138"/>
    </row>
    <row r="59" spans="2:23" x14ac:dyDescent="0.2">
      <c r="B59" s="109"/>
      <c r="C59" s="110"/>
      <c r="D59" s="141">
        <v>111</v>
      </c>
      <c r="E59" s="142" t="str">
        <f ca="1">OFFSET(Sprachen!A339,0,'START, DÉBUT, INIZIO'!$D$4-1,1,1)</f>
        <v>Eigenbedarfs- und Notstromanlagen</v>
      </c>
      <c r="F59" s="143"/>
      <c r="G59" s="114" t="s">
        <v>45</v>
      </c>
      <c r="H59" s="144"/>
      <c r="I59" s="150"/>
      <c r="J59" s="151"/>
      <c r="K59" s="152"/>
      <c r="L59" s="153"/>
      <c r="M59" s="149">
        <f>+SUMPRODUCT(K60:K62,L60:L62)</f>
        <v>0</v>
      </c>
      <c r="N59" s="121">
        <f>+SUM(N60:N62)</f>
        <v>0</v>
      </c>
      <c r="O59" s="149">
        <f>+SUM(O60:O62)</f>
        <v>0</v>
      </c>
      <c r="Q59" s="81">
        <f>+SUM(N59:O59)-M59</f>
        <v>0</v>
      </c>
      <c r="R59" s="81">
        <f>SUMPRODUCT(K60:K62,L60:L62)-SUM(M60:M62)</f>
        <v>0</v>
      </c>
      <c r="T59" s="25">
        <f>G59*N59</f>
        <v>0</v>
      </c>
      <c r="V59" s="122">
        <f>(((1+$V$10)^G59)*$V$10)/(((1+$V$10)^G59)-1)</f>
        <v>5.9776453108272141E-2</v>
      </c>
      <c r="W59" s="123">
        <f>IFERROR(N59*V59,0)</f>
        <v>0</v>
      </c>
    </row>
    <row r="60" spans="2:23" s="124" customFormat="1" ht="12.75" hidden="1" customHeight="1" x14ac:dyDescent="0.2">
      <c r="B60" s="125"/>
      <c r="C60" s="126"/>
      <c r="D60" s="127"/>
      <c r="E60" s="128"/>
      <c r="F60" s="129"/>
      <c r="G60" s="114"/>
      <c r="H60" s="130"/>
      <c r="I60" s="131"/>
      <c r="J60" s="132"/>
      <c r="K60" s="133"/>
      <c r="L60" s="134"/>
      <c r="M60" s="499">
        <f>+L60*K60</f>
        <v>0</v>
      </c>
      <c r="N60" s="136"/>
      <c r="O60" s="135"/>
      <c r="Q60" s="137"/>
      <c r="T60" s="138"/>
    </row>
    <row r="61" spans="2:23" s="124" customFormat="1" ht="12.75" x14ac:dyDescent="0.2">
      <c r="B61" s="125"/>
      <c r="C61" s="126"/>
      <c r="D61" s="127"/>
      <c r="E61" s="885"/>
      <c r="F61" s="886"/>
      <c r="G61" s="114"/>
      <c r="H61" s="130"/>
      <c r="I61" s="131"/>
      <c r="J61" s="132"/>
      <c r="K61" s="133"/>
      <c r="L61" s="134"/>
      <c r="M61" s="498">
        <f>+L61*K61</f>
        <v>0</v>
      </c>
      <c r="N61" s="136"/>
      <c r="O61" s="135"/>
      <c r="Q61" s="137"/>
      <c r="T61" s="138"/>
    </row>
    <row r="62" spans="2:23" s="124" customFormat="1" ht="12.75" x14ac:dyDescent="0.2">
      <c r="B62" s="125"/>
      <c r="C62" s="126"/>
      <c r="D62" s="127"/>
      <c r="E62" s="885"/>
      <c r="F62" s="886"/>
      <c r="G62" s="114"/>
      <c r="H62" s="130"/>
      <c r="I62" s="131"/>
      <c r="J62" s="132"/>
      <c r="K62" s="133"/>
      <c r="L62" s="134"/>
      <c r="M62" s="498">
        <f>+L62*K62</f>
        <v>0</v>
      </c>
      <c r="N62" s="136"/>
      <c r="O62" s="135"/>
      <c r="Q62" s="137"/>
      <c r="T62" s="138"/>
    </row>
    <row r="63" spans="2:23" x14ac:dyDescent="0.2">
      <c r="B63" s="109"/>
      <c r="C63" s="110"/>
      <c r="D63" s="141">
        <v>112</v>
      </c>
      <c r="E63" s="142" t="str">
        <f ca="1">OFFSET(Sprachen!A340,0,'START, DÉBUT, INIZIO'!$D$4-1,1,1)</f>
        <v>Baunebengewerbe</v>
      </c>
      <c r="F63" s="143"/>
      <c r="G63" s="114" t="s">
        <v>44</v>
      </c>
      <c r="H63" s="144"/>
      <c r="I63" s="150"/>
      <c r="J63" s="151"/>
      <c r="K63" s="152"/>
      <c r="L63" s="153"/>
      <c r="M63" s="149">
        <f>+SUMPRODUCT(K64:K66,L64:L66)</f>
        <v>0</v>
      </c>
      <c r="N63" s="121">
        <f>+SUM(N64:N66)</f>
        <v>0</v>
      </c>
      <c r="O63" s="149">
        <f>+SUM(O64:O66)</f>
        <v>0</v>
      </c>
      <c r="Q63" s="81">
        <f>+SUM(N63:O63)-M63</f>
        <v>0</v>
      </c>
      <c r="R63" s="81">
        <f>SUMPRODUCT(K64:K66,L64:L66)-SUM(M64:M66)</f>
        <v>0</v>
      </c>
      <c r="T63" s="25">
        <f>G63*N63</f>
        <v>0</v>
      </c>
      <c r="V63" s="122">
        <f>(((1+$V$10)^G63)*$V$10)/(((1+$V$10)^G63)-1)</f>
        <v>5.2609537499785704E-2</v>
      </c>
      <c r="W63" s="123">
        <f>IFERROR(N63*V63,0)</f>
        <v>0</v>
      </c>
    </row>
    <row r="64" spans="2:23" s="124" customFormat="1" ht="12.75" hidden="1" customHeight="1" x14ac:dyDescent="0.2">
      <c r="B64" s="125"/>
      <c r="C64" s="126"/>
      <c r="D64" s="127"/>
      <c r="E64" s="128"/>
      <c r="F64" s="129"/>
      <c r="G64" s="114"/>
      <c r="H64" s="130"/>
      <c r="I64" s="131"/>
      <c r="J64" s="132"/>
      <c r="K64" s="133"/>
      <c r="L64" s="134"/>
      <c r="M64" s="499">
        <f>+L64*K64</f>
        <v>0</v>
      </c>
      <c r="N64" s="136"/>
      <c r="O64" s="135"/>
      <c r="Q64" s="137"/>
      <c r="T64" s="138"/>
    </row>
    <row r="65" spans="2:23" s="124" customFormat="1" ht="12.75" x14ac:dyDescent="0.2">
      <c r="B65" s="125"/>
      <c r="C65" s="126"/>
      <c r="D65" s="127"/>
      <c r="E65" s="885"/>
      <c r="F65" s="886"/>
      <c r="G65" s="114"/>
      <c r="H65" s="130"/>
      <c r="I65" s="131"/>
      <c r="J65" s="132"/>
      <c r="K65" s="133"/>
      <c r="L65" s="134"/>
      <c r="M65" s="498">
        <f>+L65*K65</f>
        <v>0</v>
      </c>
      <c r="N65" s="136"/>
      <c r="O65" s="135"/>
      <c r="Q65" s="137"/>
      <c r="T65" s="138"/>
    </row>
    <row r="66" spans="2:23" s="124" customFormat="1" ht="12.75" customHeight="1" x14ac:dyDescent="0.2">
      <c r="B66" s="125"/>
      <c r="C66" s="126"/>
      <c r="D66" s="127"/>
      <c r="E66" s="885"/>
      <c r="F66" s="886"/>
      <c r="G66" s="114"/>
      <c r="H66" s="130"/>
      <c r="I66" s="131"/>
      <c r="J66" s="132"/>
      <c r="K66" s="133"/>
      <c r="L66" s="134"/>
      <c r="M66" s="498">
        <f>+L66*K66</f>
        <v>0</v>
      </c>
      <c r="N66" s="136"/>
      <c r="O66" s="135"/>
      <c r="Q66" s="137"/>
      <c r="T66" s="138"/>
    </row>
    <row r="67" spans="2:23" x14ac:dyDescent="0.2">
      <c r="B67" s="109"/>
      <c r="C67" s="110"/>
      <c r="D67" s="141">
        <v>113</v>
      </c>
      <c r="E67" s="142" t="str">
        <f ca="1">OFFSET(Sprachen!A341,0,'START, DÉBUT, INIZIO'!$D$4-1,1,1)</f>
        <v xml:space="preserve">Ersatzteile </v>
      </c>
      <c r="F67" s="143"/>
      <c r="G67" s="114" t="s">
        <v>44</v>
      </c>
      <c r="H67" s="144"/>
      <c r="I67" s="150"/>
      <c r="J67" s="151"/>
      <c r="K67" s="152"/>
      <c r="L67" s="153"/>
      <c r="M67" s="149">
        <f>+SUMPRODUCT(K68:K70,L68:L70)</f>
        <v>0</v>
      </c>
      <c r="N67" s="121">
        <f>+SUM(N68:N70)</f>
        <v>0</v>
      </c>
      <c r="O67" s="149">
        <f>+SUM(O68:O70)</f>
        <v>0</v>
      </c>
      <c r="Q67" s="81">
        <f>+SUM(N67:O67)-M67</f>
        <v>0</v>
      </c>
      <c r="R67" s="81">
        <f>SUMPRODUCT(K68:K69,L68:L69)-SUM(M68:M69)</f>
        <v>0</v>
      </c>
      <c r="T67" s="25">
        <f>G67*N67</f>
        <v>0</v>
      </c>
      <c r="V67" s="122">
        <f>(((1+$V$10)^G67)*$V$10)/(((1+$V$10)^G67)-1)</f>
        <v>5.2609537499785704E-2</v>
      </c>
      <c r="W67" s="123">
        <f>IFERROR(N67*V67,0)</f>
        <v>0</v>
      </c>
    </row>
    <row r="68" spans="2:23" s="124" customFormat="1" ht="12.75" hidden="1" customHeight="1" x14ac:dyDescent="0.2">
      <c r="B68" s="125"/>
      <c r="C68" s="126"/>
      <c r="D68" s="127"/>
      <c r="E68" s="128"/>
      <c r="F68" s="129"/>
      <c r="G68" s="114"/>
      <c r="H68" s="130"/>
      <c r="I68" s="131"/>
      <c r="J68" s="132"/>
      <c r="K68" s="133"/>
      <c r="L68" s="134"/>
      <c r="M68" s="499">
        <f>+L68*K68</f>
        <v>0</v>
      </c>
      <c r="N68" s="136"/>
      <c r="O68" s="135"/>
      <c r="Q68" s="137"/>
      <c r="T68" s="138"/>
    </row>
    <row r="69" spans="2:23" s="124" customFormat="1" ht="12.75" x14ac:dyDescent="0.2">
      <c r="B69" s="125"/>
      <c r="C69" s="126"/>
      <c r="D69" s="127"/>
      <c r="E69" s="885"/>
      <c r="F69" s="886"/>
      <c r="G69" s="114"/>
      <c r="H69" s="130"/>
      <c r="I69" s="131"/>
      <c r="J69" s="132"/>
      <c r="K69" s="133"/>
      <c r="L69" s="134"/>
      <c r="M69" s="498">
        <f>+L69*K69</f>
        <v>0</v>
      </c>
      <c r="N69" s="136"/>
      <c r="O69" s="135"/>
      <c r="Q69" s="137"/>
      <c r="T69" s="138"/>
    </row>
    <row r="70" spans="2:23" s="124" customFormat="1" ht="12.75" x14ac:dyDescent="0.2">
      <c r="B70" s="125"/>
      <c r="C70" s="126"/>
      <c r="D70" s="127"/>
      <c r="E70" s="885"/>
      <c r="F70" s="886"/>
      <c r="G70" s="114"/>
      <c r="H70" s="130"/>
      <c r="I70" s="131"/>
      <c r="J70" s="132"/>
      <c r="K70" s="133"/>
      <c r="L70" s="134"/>
      <c r="M70" s="498">
        <f>+L70*K70</f>
        <v>0</v>
      </c>
      <c r="N70" s="136"/>
      <c r="O70" s="135"/>
      <c r="Q70" s="137"/>
      <c r="T70" s="138"/>
    </row>
    <row r="71" spans="2:23" ht="4.9000000000000004" customHeight="1" x14ac:dyDescent="0.2">
      <c r="B71" s="109"/>
      <c r="C71" s="110"/>
      <c r="D71" s="141"/>
      <c r="E71" s="154"/>
      <c r="F71" s="155"/>
      <c r="G71" s="156"/>
      <c r="H71" s="144"/>
      <c r="I71" s="145"/>
      <c r="J71" s="146"/>
      <c r="K71" s="147"/>
      <c r="L71" s="148"/>
      <c r="M71" s="149"/>
      <c r="N71" s="121"/>
      <c r="O71" s="149"/>
      <c r="Q71" s="157"/>
    </row>
    <row r="72" spans="2:23" x14ac:dyDescent="0.2">
      <c r="B72" s="109"/>
      <c r="C72" s="110"/>
      <c r="D72" s="141">
        <v>114</v>
      </c>
      <c r="E72" s="885" t="s">
        <v>46</v>
      </c>
      <c r="F72" s="886"/>
      <c r="G72" s="158"/>
      <c r="H72" s="144"/>
      <c r="I72" s="145"/>
      <c r="J72" s="146"/>
      <c r="K72" s="147"/>
      <c r="L72" s="148"/>
      <c r="M72" s="149">
        <f>+SUMPRODUCT(K73:K75,L73:L75)</f>
        <v>0</v>
      </c>
      <c r="N72" s="121">
        <f>+SUM(N73:N75)</f>
        <v>0</v>
      </c>
      <c r="O72" s="149">
        <f>+SUM(O73:O75)</f>
        <v>0</v>
      </c>
      <c r="Q72" s="81">
        <f>+SUM(N72:O72)-M72</f>
        <v>0</v>
      </c>
      <c r="R72" s="81">
        <f>SUMPRODUCT(K73:K75,L73:L75)-SUM(M73:M75)</f>
        <v>0</v>
      </c>
      <c r="T72" s="25">
        <f>G72*N72</f>
        <v>0</v>
      </c>
      <c r="V72" s="122" t="e">
        <f>(((1+$V$10)^G72)*$V$10)/(((1+$V$10)^G72)-1)</f>
        <v>#DIV/0!</v>
      </c>
      <c r="W72" s="123">
        <f>IFERROR(N72*V72,0)</f>
        <v>0</v>
      </c>
    </row>
    <row r="73" spans="2:23" s="124" customFormat="1" ht="12" hidden="1" customHeight="1" x14ac:dyDescent="0.2">
      <c r="B73" s="125"/>
      <c r="C73" s="126"/>
      <c r="D73" s="127"/>
      <c r="E73" s="128"/>
      <c r="F73" s="139"/>
      <c r="G73" s="159"/>
      <c r="H73" s="130"/>
      <c r="I73" s="131"/>
      <c r="J73" s="132"/>
      <c r="K73" s="133"/>
      <c r="L73" s="134"/>
      <c r="M73" s="499">
        <f>+L73*K73</f>
        <v>0</v>
      </c>
      <c r="N73" s="136"/>
      <c r="O73" s="135"/>
      <c r="Q73" s="137"/>
      <c r="T73" s="138"/>
    </row>
    <row r="74" spans="2:23" s="124" customFormat="1" ht="12.75" x14ac:dyDescent="0.2">
      <c r="B74" s="125"/>
      <c r="C74" s="126"/>
      <c r="D74" s="127"/>
      <c r="E74" s="885"/>
      <c r="F74" s="886"/>
      <c r="G74" s="114"/>
      <c r="H74" s="130"/>
      <c r="I74" s="131"/>
      <c r="J74" s="132"/>
      <c r="K74" s="133"/>
      <c r="L74" s="134"/>
      <c r="M74" s="498">
        <f>+L74*K74</f>
        <v>0</v>
      </c>
      <c r="N74" s="136"/>
      <c r="O74" s="135"/>
      <c r="Q74" s="137"/>
      <c r="T74" s="138"/>
    </row>
    <row r="75" spans="2:23" s="124" customFormat="1" ht="12.75" x14ac:dyDescent="0.2">
      <c r="B75" s="125"/>
      <c r="C75" s="126"/>
      <c r="D75" s="127"/>
      <c r="E75" s="885"/>
      <c r="F75" s="886"/>
      <c r="G75" s="114"/>
      <c r="H75" s="130"/>
      <c r="I75" s="131"/>
      <c r="J75" s="132"/>
      <c r="K75" s="133"/>
      <c r="L75" s="134"/>
      <c r="M75" s="498">
        <f>+L75*K75</f>
        <v>0</v>
      </c>
      <c r="N75" s="136"/>
      <c r="O75" s="135"/>
      <c r="Q75" s="137"/>
      <c r="T75" s="138"/>
    </row>
    <row r="76" spans="2:23" ht="4.9000000000000004" customHeight="1" x14ac:dyDescent="0.2">
      <c r="B76" s="109"/>
      <c r="C76" s="110"/>
      <c r="D76" s="141"/>
      <c r="E76" s="154"/>
      <c r="F76" s="155"/>
      <c r="G76" s="156"/>
      <c r="H76" s="144"/>
      <c r="I76" s="145"/>
      <c r="J76" s="146"/>
      <c r="K76" s="147"/>
      <c r="L76" s="148"/>
      <c r="M76" s="149"/>
      <c r="N76" s="121"/>
      <c r="O76" s="149"/>
      <c r="Q76" s="157"/>
    </row>
    <row r="77" spans="2:23" x14ac:dyDescent="0.2">
      <c r="B77" s="109"/>
      <c r="C77" s="110"/>
      <c r="D77" s="141">
        <v>115</v>
      </c>
      <c r="E77" s="885" t="s">
        <v>46</v>
      </c>
      <c r="F77" s="886"/>
      <c r="G77" s="158"/>
      <c r="H77" s="144"/>
      <c r="I77" s="145"/>
      <c r="J77" s="146"/>
      <c r="K77" s="147"/>
      <c r="L77" s="148"/>
      <c r="M77" s="149">
        <f>+SUMPRODUCT(K78:K80,L78:L80)</f>
        <v>0</v>
      </c>
      <c r="N77" s="121">
        <f>+SUM(N78:N80)</f>
        <v>0</v>
      </c>
      <c r="O77" s="149">
        <f>+SUM(O78:O80)</f>
        <v>0</v>
      </c>
      <c r="Q77" s="81">
        <f>+SUM(N77:O77)-M77</f>
        <v>0</v>
      </c>
      <c r="R77" s="81">
        <f>SUMPRODUCT(K78:K80,L78:L80)-SUM(M78:M80)</f>
        <v>0</v>
      </c>
      <c r="T77" s="25">
        <f>G77*N77</f>
        <v>0</v>
      </c>
      <c r="V77" s="122" t="e">
        <f>(((1+$V$10)^G77)*$V$10)/(((1+$V$10)^G77)-1)</f>
        <v>#DIV/0!</v>
      </c>
      <c r="W77" s="123">
        <f>IFERROR(N77*V77,0)</f>
        <v>0</v>
      </c>
    </row>
    <row r="78" spans="2:23" s="124" customFormat="1" ht="12" hidden="1" customHeight="1" x14ac:dyDescent="0.2">
      <c r="B78" s="125"/>
      <c r="C78" s="126"/>
      <c r="D78" s="127"/>
      <c r="E78" s="128"/>
      <c r="F78" s="139"/>
      <c r="G78" s="159"/>
      <c r="H78" s="130"/>
      <c r="I78" s="131"/>
      <c r="J78" s="132"/>
      <c r="K78" s="133"/>
      <c r="L78" s="134"/>
      <c r="M78" s="499">
        <f>+L78*K78</f>
        <v>0</v>
      </c>
      <c r="N78" s="136"/>
      <c r="O78" s="135"/>
      <c r="Q78" s="137"/>
      <c r="T78" s="138"/>
    </row>
    <row r="79" spans="2:23" s="124" customFormat="1" ht="12.75" x14ac:dyDescent="0.2">
      <c r="B79" s="125"/>
      <c r="C79" s="126"/>
      <c r="D79" s="127"/>
      <c r="E79" s="885"/>
      <c r="F79" s="886"/>
      <c r="G79" s="114"/>
      <c r="H79" s="130"/>
      <c r="I79" s="131"/>
      <c r="J79" s="132"/>
      <c r="K79" s="133"/>
      <c r="L79" s="134"/>
      <c r="M79" s="498">
        <f>+L79*K79</f>
        <v>0</v>
      </c>
      <c r="N79" s="136"/>
      <c r="O79" s="135"/>
      <c r="Q79" s="137"/>
      <c r="T79" s="138"/>
    </row>
    <row r="80" spans="2:23" s="124" customFormat="1" ht="12.75" x14ac:dyDescent="0.2">
      <c r="B80" s="125"/>
      <c r="C80" s="126"/>
      <c r="D80" s="127"/>
      <c r="E80" s="885"/>
      <c r="F80" s="886"/>
      <c r="G80" s="114"/>
      <c r="H80" s="130"/>
      <c r="I80" s="131"/>
      <c r="J80" s="132"/>
      <c r="K80" s="133"/>
      <c r="L80" s="134"/>
      <c r="M80" s="498">
        <f>+L80*K80</f>
        <v>0</v>
      </c>
      <c r="N80" s="136"/>
      <c r="O80" s="135"/>
      <c r="Q80" s="137"/>
      <c r="T80" s="138"/>
    </row>
    <row r="81" spans="2:23" ht="4.9000000000000004" customHeight="1" x14ac:dyDescent="0.2">
      <c r="B81" s="109"/>
      <c r="C81" s="110"/>
      <c r="D81" s="160"/>
      <c r="E81" s="154"/>
      <c r="F81" s="155"/>
      <c r="G81" s="114"/>
      <c r="H81" s="161"/>
      <c r="I81" s="162"/>
      <c r="J81" s="163"/>
      <c r="K81" s="164"/>
      <c r="L81" s="165"/>
      <c r="M81" s="149"/>
      <c r="N81" s="121"/>
      <c r="O81" s="149"/>
      <c r="Q81" s="157"/>
    </row>
    <row r="82" spans="2:23" x14ac:dyDescent="0.2">
      <c r="B82" s="109"/>
      <c r="C82" s="110"/>
      <c r="D82" s="141">
        <v>116</v>
      </c>
      <c r="E82" s="885" t="s">
        <v>46</v>
      </c>
      <c r="F82" s="886"/>
      <c r="G82" s="158"/>
      <c r="H82" s="144"/>
      <c r="I82" s="145"/>
      <c r="J82" s="146"/>
      <c r="K82" s="147"/>
      <c r="L82" s="148"/>
      <c r="M82" s="149">
        <f>+SUMPRODUCT(K83:K85,L83:L85)</f>
        <v>0</v>
      </c>
      <c r="N82" s="121">
        <f>+SUM(N83:N85)</f>
        <v>0</v>
      </c>
      <c r="O82" s="149">
        <f>+SUM(O83:O85)</f>
        <v>0</v>
      </c>
      <c r="Q82" s="81">
        <f>+SUM(N82:O82)-M82</f>
        <v>0</v>
      </c>
      <c r="R82" s="81">
        <f>SUMPRODUCT(K83:K85,L83:L85)-SUM(M83:M85)</f>
        <v>0</v>
      </c>
      <c r="T82" s="25">
        <f>G82*N82</f>
        <v>0</v>
      </c>
      <c r="V82" s="122" t="e">
        <f>(((1+$V$10)^G82)*$V$10)/(((1+$V$10)^G82)-1)</f>
        <v>#DIV/0!</v>
      </c>
      <c r="W82" s="123">
        <f>IFERROR(N82*V82,0)</f>
        <v>0</v>
      </c>
    </row>
    <row r="83" spans="2:23" s="124" customFormat="1" ht="12" hidden="1" customHeight="1" x14ac:dyDescent="0.2">
      <c r="B83" s="125"/>
      <c r="C83" s="126"/>
      <c r="D83" s="127"/>
      <c r="E83" s="128"/>
      <c r="F83" s="139"/>
      <c r="G83" s="159"/>
      <c r="H83" s="130"/>
      <c r="I83" s="131"/>
      <c r="J83" s="132"/>
      <c r="K83" s="133"/>
      <c r="L83" s="134"/>
      <c r="M83" s="499">
        <f>+L83*K83</f>
        <v>0</v>
      </c>
      <c r="N83" s="136"/>
      <c r="O83" s="135"/>
      <c r="Q83" s="137"/>
      <c r="T83" s="138"/>
    </row>
    <row r="84" spans="2:23" s="124" customFormat="1" ht="12.75" x14ac:dyDescent="0.2">
      <c r="B84" s="125"/>
      <c r="C84" s="126"/>
      <c r="D84" s="127"/>
      <c r="E84" s="885"/>
      <c r="F84" s="886"/>
      <c r="G84" s="114"/>
      <c r="H84" s="130"/>
      <c r="I84" s="131"/>
      <c r="J84" s="132"/>
      <c r="K84" s="133"/>
      <c r="L84" s="134"/>
      <c r="M84" s="498">
        <f>+L84*K84</f>
        <v>0</v>
      </c>
      <c r="N84" s="136"/>
      <c r="O84" s="135"/>
      <c r="Q84" s="137"/>
      <c r="T84" s="138"/>
    </row>
    <row r="85" spans="2:23" s="124" customFormat="1" ht="12.75" x14ac:dyDescent="0.2">
      <c r="B85" s="125"/>
      <c r="C85" s="126"/>
      <c r="D85" s="166"/>
      <c r="E85" s="885"/>
      <c r="F85" s="886"/>
      <c r="G85" s="114"/>
      <c r="H85" s="167"/>
      <c r="I85" s="168"/>
      <c r="J85" s="169"/>
      <c r="K85" s="170"/>
      <c r="L85" s="171"/>
      <c r="M85" s="498">
        <f>+L85*K85</f>
        <v>0</v>
      </c>
      <c r="N85" s="172"/>
      <c r="O85" s="135"/>
      <c r="Q85" s="137"/>
      <c r="T85" s="138"/>
    </row>
    <row r="86" spans="2:23" s="85" customFormat="1" ht="15" x14ac:dyDescent="0.2">
      <c r="B86" s="98"/>
      <c r="C86" s="99">
        <v>20</v>
      </c>
      <c r="D86" s="99" t="str">
        <f ca="1">OFFSET(Sprachen!A342,0,'START, DÉBUT, INIZIO'!$D$4-1,1,1)</f>
        <v>Triebwasserweg (ober- und unterwasser)/Förderwasserweg</v>
      </c>
      <c r="E86" s="99"/>
      <c r="F86" s="100"/>
      <c r="G86" s="101"/>
      <c r="H86" s="102"/>
      <c r="I86" s="103"/>
      <c r="J86" s="104"/>
      <c r="K86" s="105"/>
      <c r="L86" s="106"/>
      <c r="M86" s="107">
        <f>+M87+M91+M95+M99+M103+M107+M111+M115+M119+M123+M127+M131+M135+M139+M143+M147+M151+M155+M160+M165+M170</f>
        <v>0</v>
      </c>
      <c r="N86" s="108">
        <f>+N87+N91+N95+N99+N103+N107+N111+N115+N119+N123+N127+N131+N135+N139+N143+N147+N151+N155+N160+N165+N170</f>
        <v>0</v>
      </c>
      <c r="O86" s="108">
        <f>+O87+O91+O95+O99+O103+O107+O111+O115+O119+O123+O127+O131+O135+O139+O143+O147+O151+O155+O160+O165+O170</f>
        <v>0</v>
      </c>
      <c r="Q86" s="81">
        <f>+SUM(N86:O86)-M86</f>
        <v>0</v>
      </c>
      <c r="T86" s="97"/>
    </row>
    <row r="87" spans="2:23" x14ac:dyDescent="0.2">
      <c r="B87" s="109"/>
      <c r="C87" s="110"/>
      <c r="D87" s="111">
        <v>200</v>
      </c>
      <c r="E87" s="173" t="str">
        <f ca="1">OFFSET(Sprachen!A343,0,'START, DÉBUT, INIZIO'!$D$4-1,1,1)</f>
        <v>Entsanderanlage und/oder Kiesfang</v>
      </c>
      <c r="F87" s="174"/>
      <c r="G87" s="175">
        <v>80</v>
      </c>
      <c r="H87" s="115"/>
      <c r="I87" s="176"/>
      <c r="J87" s="177"/>
      <c r="K87" s="178"/>
      <c r="L87" s="179"/>
      <c r="M87" s="149">
        <f>+SUMPRODUCT(K88:K90,L88:L90)</f>
        <v>0</v>
      </c>
      <c r="N87" s="121">
        <f>+SUM(N88:N90)</f>
        <v>0</v>
      </c>
      <c r="O87" s="149">
        <f>+SUM(O88:O90)</f>
        <v>0</v>
      </c>
      <c r="Q87" s="81">
        <f>+SUM(N87:O87)-M87</f>
        <v>0</v>
      </c>
      <c r="R87" s="81">
        <f>SUMPRODUCT(K88:K90,L88:L90)-SUM(M88:M90)</f>
        <v>0</v>
      </c>
      <c r="T87" s="25">
        <f>G87*N87</f>
        <v>0</v>
      </c>
      <c r="V87" s="122">
        <f>(((1+$V$10)^G87)*$V$10)/(((1+$V$10)^G87)-1)</f>
        <v>4.4306137652275909E-2</v>
      </c>
      <c r="W87" s="123">
        <f>IFERROR(N87*V87,0)</f>
        <v>0</v>
      </c>
    </row>
    <row r="88" spans="2:23" s="124" customFormat="1" ht="12" hidden="1" customHeight="1" x14ac:dyDescent="0.2">
      <c r="B88" s="125"/>
      <c r="C88" s="126"/>
      <c r="D88" s="127"/>
      <c r="E88" s="180"/>
      <c r="F88" s="181"/>
      <c r="G88" s="158"/>
      <c r="H88" s="130"/>
      <c r="I88" s="131"/>
      <c r="J88" s="132"/>
      <c r="K88" s="133"/>
      <c r="L88" s="134"/>
      <c r="M88" s="499">
        <f>+L88*K88</f>
        <v>0</v>
      </c>
      <c r="N88" s="136"/>
      <c r="O88" s="135"/>
      <c r="Q88" s="137"/>
      <c r="T88" s="138"/>
    </row>
    <row r="89" spans="2:23" s="124" customFormat="1" ht="12.75" customHeight="1" x14ac:dyDescent="0.2">
      <c r="B89" s="125"/>
      <c r="C89" s="126"/>
      <c r="D89" s="127"/>
      <c r="E89" s="885"/>
      <c r="F89" s="886"/>
      <c r="G89" s="114"/>
      <c r="H89" s="130"/>
      <c r="I89" s="131"/>
      <c r="J89" s="132"/>
      <c r="K89" s="133"/>
      <c r="L89" s="134"/>
      <c r="M89" s="498">
        <f>+L89*K89</f>
        <v>0</v>
      </c>
      <c r="N89" s="136"/>
      <c r="O89" s="135"/>
      <c r="Q89" s="137"/>
      <c r="T89" s="138"/>
      <c r="W89" s="123"/>
    </row>
    <row r="90" spans="2:23" s="124" customFormat="1" ht="12.75" x14ac:dyDescent="0.2">
      <c r="B90" s="125"/>
      <c r="C90" s="126"/>
      <c r="D90" s="127"/>
      <c r="E90" s="885"/>
      <c r="F90" s="886"/>
      <c r="G90" s="114"/>
      <c r="H90" s="130"/>
      <c r="I90" s="131"/>
      <c r="J90" s="132"/>
      <c r="K90" s="133"/>
      <c r="L90" s="134"/>
      <c r="M90" s="498">
        <f>+L90*K90</f>
        <v>0</v>
      </c>
      <c r="N90" s="136"/>
      <c r="O90" s="135"/>
      <c r="Q90" s="137"/>
      <c r="T90" s="138"/>
    </row>
    <row r="91" spans="2:23" x14ac:dyDescent="0.2">
      <c r="B91" s="109"/>
      <c r="C91" s="110"/>
      <c r="D91" s="141">
        <v>201</v>
      </c>
      <c r="E91" s="52" t="str">
        <f ca="1">OFFSET(Sprachen!A344,0,'START, DÉBUT, INIZIO'!$D$4-1,1,1)</f>
        <v>Rechen und/oder Rechenreinigungsanlage</v>
      </c>
      <c r="F91" s="53"/>
      <c r="G91" s="114">
        <v>40</v>
      </c>
      <c r="H91" s="144"/>
      <c r="I91" s="150"/>
      <c r="J91" s="151"/>
      <c r="K91" s="152"/>
      <c r="L91" s="153"/>
      <c r="M91" s="149">
        <f>+SUMPRODUCT(K92:K94,L92:L94)</f>
        <v>0</v>
      </c>
      <c r="N91" s="121">
        <f>+SUM(N92:N94)</f>
        <v>0</v>
      </c>
      <c r="O91" s="149">
        <f>+SUM(O92:O94)</f>
        <v>0</v>
      </c>
      <c r="Q91" s="81">
        <f>+SUM(N91:O91)-M91</f>
        <v>0</v>
      </c>
      <c r="R91" s="81">
        <f>SUMPRODUCT(K92:K94,L92:L94)-SUM(M92:M94)</f>
        <v>0</v>
      </c>
      <c r="T91" s="25">
        <f>G91*N91</f>
        <v>0</v>
      </c>
      <c r="V91" s="122">
        <f>(((1+$V$10)^G91)*$V$10)/(((1+$V$10)^G91)-1)</f>
        <v>5.2609537499785704E-2</v>
      </c>
      <c r="W91" s="123">
        <f>IFERROR(N91*V91,0)</f>
        <v>0</v>
      </c>
    </row>
    <row r="92" spans="2:23" s="124" customFormat="1" ht="12.75" hidden="1" customHeight="1" x14ac:dyDescent="0.2">
      <c r="B92" s="125"/>
      <c r="C92" s="126"/>
      <c r="D92" s="127"/>
      <c r="E92" s="182"/>
      <c r="F92" s="181"/>
      <c r="G92" s="114"/>
      <c r="H92" s="130"/>
      <c r="I92" s="131"/>
      <c r="J92" s="132"/>
      <c r="K92" s="133"/>
      <c r="L92" s="134"/>
      <c r="M92" s="499">
        <f>+L92*K92</f>
        <v>0</v>
      </c>
      <c r="N92" s="136"/>
      <c r="O92" s="135"/>
      <c r="Q92" s="137"/>
      <c r="T92" s="138"/>
    </row>
    <row r="93" spans="2:23" s="124" customFormat="1" ht="12.75" x14ac:dyDescent="0.2">
      <c r="B93" s="125"/>
      <c r="C93" s="126"/>
      <c r="D93" s="127"/>
      <c r="E93" s="885"/>
      <c r="F93" s="886"/>
      <c r="G93" s="114"/>
      <c r="H93" s="130"/>
      <c r="I93" s="131"/>
      <c r="J93" s="132"/>
      <c r="K93" s="133"/>
      <c r="L93" s="134"/>
      <c r="M93" s="498">
        <f>+L93*K93</f>
        <v>0</v>
      </c>
      <c r="N93" s="136"/>
      <c r="O93" s="135"/>
      <c r="Q93" s="137"/>
      <c r="T93" s="138"/>
    </row>
    <row r="94" spans="2:23" s="124" customFormat="1" ht="12.75" x14ac:dyDescent="0.2">
      <c r="B94" s="125"/>
      <c r="C94" s="126"/>
      <c r="D94" s="127"/>
      <c r="E94" s="885"/>
      <c r="F94" s="886"/>
      <c r="G94" s="114"/>
      <c r="H94" s="130"/>
      <c r="I94" s="131"/>
      <c r="J94" s="132"/>
      <c r="K94" s="133"/>
      <c r="L94" s="134"/>
      <c r="M94" s="498">
        <f>+L94*K94</f>
        <v>0</v>
      </c>
      <c r="N94" s="136"/>
      <c r="O94" s="135"/>
      <c r="Q94" s="137"/>
      <c r="T94" s="138"/>
    </row>
    <row r="95" spans="2:23" x14ac:dyDescent="0.2">
      <c r="B95" s="109"/>
      <c r="C95" s="110"/>
      <c r="D95" s="141">
        <v>202</v>
      </c>
      <c r="E95" s="52" t="str">
        <f ca="1">OFFSET(Sprachen!A345,0,'START, DÉBUT, INIZIO'!$D$4-1,1,1)</f>
        <v>Oberwasserkanal</v>
      </c>
      <c r="F95" s="53"/>
      <c r="G95" s="114">
        <v>80</v>
      </c>
      <c r="H95" s="144"/>
      <c r="I95" s="150"/>
      <c r="J95" s="151"/>
      <c r="K95" s="152"/>
      <c r="L95" s="153"/>
      <c r="M95" s="149">
        <f>+SUMPRODUCT(K96:K98,L96:L98)</f>
        <v>0</v>
      </c>
      <c r="N95" s="121">
        <f>+SUM(N96:N98)</f>
        <v>0</v>
      </c>
      <c r="O95" s="149">
        <f>+SUM(O96:O98)</f>
        <v>0</v>
      </c>
      <c r="Q95" s="81">
        <f>+SUM(N95:O95)-M95</f>
        <v>0</v>
      </c>
      <c r="R95" s="81">
        <f>SUMPRODUCT(K96:K98,L96:L98)-SUM(M96:M98)</f>
        <v>0</v>
      </c>
      <c r="T95" s="25">
        <f>G95*N95</f>
        <v>0</v>
      </c>
      <c r="V95" s="122">
        <f>(((1+$V$10)^G95)*$V$10)/(((1+$V$10)^G95)-1)</f>
        <v>4.4306137652275909E-2</v>
      </c>
      <c r="W95" s="123">
        <f>IFERROR(N95*V95,0)</f>
        <v>0</v>
      </c>
    </row>
    <row r="96" spans="2:23" s="124" customFormat="1" ht="12.75" hidden="1" customHeight="1" x14ac:dyDescent="0.2">
      <c r="B96" s="125"/>
      <c r="C96" s="126"/>
      <c r="D96" s="127"/>
      <c r="E96" s="180"/>
      <c r="F96" s="181"/>
      <c r="G96" s="114"/>
      <c r="H96" s="130"/>
      <c r="I96" s="131"/>
      <c r="J96" s="132"/>
      <c r="K96" s="133"/>
      <c r="L96" s="134"/>
      <c r="M96" s="499">
        <f>+L96*K96</f>
        <v>0</v>
      </c>
      <c r="N96" s="136"/>
      <c r="O96" s="135"/>
      <c r="Q96" s="137"/>
      <c r="T96" s="138"/>
    </row>
    <row r="97" spans="2:23" s="124" customFormat="1" ht="12.75" x14ac:dyDescent="0.2">
      <c r="B97" s="125"/>
      <c r="C97" s="126"/>
      <c r="D97" s="127"/>
      <c r="E97" s="885"/>
      <c r="F97" s="886"/>
      <c r="G97" s="114"/>
      <c r="H97" s="130"/>
      <c r="I97" s="131"/>
      <c r="J97" s="132"/>
      <c r="K97" s="133"/>
      <c r="L97" s="134"/>
      <c r="M97" s="498">
        <f>+L97*K97</f>
        <v>0</v>
      </c>
      <c r="N97" s="136"/>
      <c r="O97" s="135"/>
      <c r="Q97" s="137"/>
      <c r="T97" s="138"/>
    </row>
    <row r="98" spans="2:23" s="124" customFormat="1" ht="12.75" x14ac:dyDescent="0.2">
      <c r="B98" s="125"/>
      <c r="C98" s="126"/>
      <c r="D98" s="127"/>
      <c r="E98" s="885"/>
      <c r="F98" s="886"/>
      <c r="G98" s="114"/>
      <c r="H98" s="130"/>
      <c r="I98" s="131"/>
      <c r="J98" s="132"/>
      <c r="K98" s="133"/>
      <c r="L98" s="134"/>
      <c r="M98" s="498">
        <f>+L98*K98</f>
        <v>0</v>
      </c>
      <c r="N98" s="136"/>
      <c r="O98" s="135"/>
      <c r="Q98" s="137"/>
      <c r="T98" s="138"/>
    </row>
    <row r="99" spans="2:23" x14ac:dyDescent="0.2">
      <c r="B99" s="109"/>
      <c r="C99" s="110"/>
      <c r="D99" s="141">
        <v>203</v>
      </c>
      <c r="E99" s="52" t="str">
        <f ca="1">OFFSET(Sprachen!A346,0,'START, DÉBUT, INIZIO'!$D$4-1,1,1)</f>
        <v>Freispiegelleitung</v>
      </c>
      <c r="F99" s="53"/>
      <c r="G99" s="114">
        <v>50</v>
      </c>
      <c r="H99" s="144"/>
      <c r="I99" s="150"/>
      <c r="J99" s="151"/>
      <c r="K99" s="152"/>
      <c r="L99" s="153"/>
      <c r="M99" s="149">
        <f>+SUMPRODUCT(K100:K102,L100:L102)</f>
        <v>0</v>
      </c>
      <c r="N99" s="121">
        <f>+SUM(N100:N102)</f>
        <v>0</v>
      </c>
      <c r="O99" s="149">
        <f>+SUM(O100:O102)</f>
        <v>0</v>
      </c>
      <c r="Q99" s="81">
        <f>+SUM(N99:O99)-M99</f>
        <v>0</v>
      </c>
      <c r="R99" s="81">
        <f>SUMPRODUCT(K100:K102,L100:L102)-SUM(M100:M102)</f>
        <v>0</v>
      </c>
      <c r="T99" s="25">
        <f>G99*N99</f>
        <v>0</v>
      </c>
      <c r="V99" s="122">
        <f>(((1+$V$10)^G99)*$V$10)/(((1+$V$10)^G99)-1)</f>
        <v>4.8762830809163174E-2</v>
      </c>
      <c r="W99" s="123">
        <f>IFERROR(N99*V99,0)</f>
        <v>0</v>
      </c>
    </row>
    <row r="100" spans="2:23" s="124" customFormat="1" ht="12.75" hidden="1" customHeight="1" x14ac:dyDescent="0.2">
      <c r="B100" s="125"/>
      <c r="C100" s="126"/>
      <c r="D100" s="127"/>
      <c r="E100" s="180"/>
      <c r="F100" s="181"/>
      <c r="G100" s="114"/>
      <c r="H100" s="130"/>
      <c r="I100" s="131"/>
      <c r="J100" s="132"/>
      <c r="K100" s="133"/>
      <c r="L100" s="134"/>
      <c r="M100" s="499">
        <f>+L100*K100</f>
        <v>0</v>
      </c>
      <c r="N100" s="136"/>
      <c r="O100" s="135"/>
      <c r="Q100" s="137"/>
      <c r="T100" s="138"/>
    </row>
    <row r="101" spans="2:23" s="124" customFormat="1" ht="12.75" x14ac:dyDescent="0.2">
      <c r="B101" s="125"/>
      <c r="C101" s="126"/>
      <c r="D101" s="127"/>
      <c r="E101" s="885"/>
      <c r="F101" s="886"/>
      <c r="G101" s="114"/>
      <c r="H101" s="130"/>
      <c r="I101" s="131"/>
      <c r="J101" s="132"/>
      <c r="K101" s="133"/>
      <c r="L101" s="134"/>
      <c r="M101" s="498">
        <f>+L101*K101</f>
        <v>0</v>
      </c>
      <c r="N101" s="136"/>
      <c r="O101" s="135"/>
      <c r="Q101" s="137"/>
      <c r="T101" s="138"/>
    </row>
    <row r="102" spans="2:23" s="124" customFormat="1" ht="12.75" x14ac:dyDescent="0.2">
      <c r="B102" s="125"/>
      <c r="C102" s="126"/>
      <c r="D102" s="127"/>
      <c r="E102" s="885"/>
      <c r="F102" s="886"/>
      <c r="G102" s="114"/>
      <c r="H102" s="130"/>
      <c r="I102" s="131"/>
      <c r="J102" s="132"/>
      <c r="K102" s="133"/>
      <c r="L102" s="134"/>
      <c r="M102" s="498">
        <f>+L102*K102</f>
        <v>0</v>
      </c>
      <c r="N102" s="136"/>
      <c r="O102" s="135"/>
      <c r="Q102" s="137"/>
      <c r="T102" s="138"/>
    </row>
    <row r="103" spans="2:23" x14ac:dyDescent="0.2">
      <c r="B103" s="109"/>
      <c r="C103" s="110"/>
      <c r="D103" s="141">
        <v>204</v>
      </c>
      <c r="E103" s="52" t="str">
        <f ca="1">OFFSET(Sprachen!A347,0,'START, DÉBUT, INIZIO'!$D$4-1,1,1)</f>
        <v>Freispiegelstollen</v>
      </c>
      <c r="F103" s="53"/>
      <c r="G103" s="114">
        <v>80</v>
      </c>
      <c r="H103" s="144"/>
      <c r="I103" s="150"/>
      <c r="J103" s="151"/>
      <c r="K103" s="152"/>
      <c r="L103" s="153"/>
      <c r="M103" s="149">
        <f>+SUMPRODUCT(K104:K106,L104:L106)</f>
        <v>0</v>
      </c>
      <c r="N103" s="121">
        <f>+SUM(N104:N106)</f>
        <v>0</v>
      </c>
      <c r="O103" s="149">
        <f>+SUM(O104:O106)</f>
        <v>0</v>
      </c>
      <c r="Q103" s="81">
        <f>+SUM(N103:O103)-M103</f>
        <v>0</v>
      </c>
      <c r="R103" s="81">
        <f>SUMPRODUCT(K104:K106,L104:L106)-SUM(M104:M106)</f>
        <v>0</v>
      </c>
      <c r="T103" s="25">
        <f>G103*N103</f>
        <v>0</v>
      </c>
      <c r="V103" s="122">
        <f>(((1+$V$10)^G103)*$V$10)/(((1+$V$10)^G103)-1)</f>
        <v>4.4306137652275909E-2</v>
      </c>
      <c r="W103" s="123">
        <f>IFERROR(N103*V103,0)</f>
        <v>0</v>
      </c>
    </row>
    <row r="104" spans="2:23" s="124" customFormat="1" ht="12.75" hidden="1" customHeight="1" x14ac:dyDescent="0.2">
      <c r="B104" s="125"/>
      <c r="C104" s="126"/>
      <c r="D104" s="127"/>
      <c r="E104" s="180"/>
      <c r="F104" s="181"/>
      <c r="G104" s="114"/>
      <c r="H104" s="130"/>
      <c r="I104" s="131"/>
      <c r="J104" s="132"/>
      <c r="K104" s="133"/>
      <c r="L104" s="134"/>
      <c r="M104" s="499">
        <f>+L104*K104</f>
        <v>0</v>
      </c>
      <c r="N104" s="136"/>
      <c r="O104" s="135"/>
      <c r="Q104" s="137"/>
      <c r="T104" s="138"/>
    </row>
    <row r="105" spans="2:23" s="124" customFormat="1" ht="12.75" x14ac:dyDescent="0.2">
      <c r="B105" s="125"/>
      <c r="C105" s="126"/>
      <c r="D105" s="127"/>
      <c r="E105" s="885"/>
      <c r="F105" s="886"/>
      <c r="G105" s="114"/>
      <c r="H105" s="130"/>
      <c r="I105" s="131"/>
      <c r="J105" s="132"/>
      <c r="K105" s="133"/>
      <c r="L105" s="134"/>
      <c r="M105" s="498">
        <f>+L105*K105</f>
        <v>0</v>
      </c>
      <c r="N105" s="136"/>
      <c r="O105" s="135"/>
      <c r="Q105" s="137"/>
      <c r="T105" s="138"/>
    </row>
    <row r="106" spans="2:23" s="124" customFormat="1" ht="12.75" x14ac:dyDescent="0.2">
      <c r="B106" s="125"/>
      <c r="C106" s="126"/>
      <c r="D106" s="127"/>
      <c r="E106" s="885"/>
      <c r="F106" s="886"/>
      <c r="G106" s="114"/>
      <c r="H106" s="130"/>
      <c r="I106" s="131"/>
      <c r="J106" s="132"/>
      <c r="K106" s="133"/>
      <c r="L106" s="134"/>
      <c r="M106" s="498">
        <f>+L106*K106</f>
        <v>0</v>
      </c>
      <c r="N106" s="136"/>
      <c r="O106" s="135"/>
      <c r="Q106" s="137"/>
      <c r="T106" s="138"/>
    </row>
    <row r="107" spans="2:23" x14ac:dyDescent="0.2">
      <c r="B107" s="109"/>
      <c r="C107" s="110"/>
      <c r="D107" s="141">
        <v>205</v>
      </c>
      <c r="E107" s="52" t="str">
        <f ca="1">OFFSET(Sprachen!A348,0,'START, DÉBUT, INIZIO'!$D$4-1,1,1)</f>
        <v>Druckstollen</v>
      </c>
      <c r="F107" s="53"/>
      <c r="G107" s="114">
        <v>80</v>
      </c>
      <c r="H107" s="144"/>
      <c r="I107" s="150"/>
      <c r="J107" s="151"/>
      <c r="K107" s="152"/>
      <c r="L107" s="153"/>
      <c r="M107" s="149">
        <f>+SUMPRODUCT(K108:K110,L108:L110)</f>
        <v>0</v>
      </c>
      <c r="N107" s="121">
        <f>+SUM(N108:N110)</f>
        <v>0</v>
      </c>
      <c r="O107" s="149">
        <f>+SUM(O108:O110)</f>
        <v>0</v>
      </c>
      <c r="Q107" s="81">
        <f>+SUM(N107:O107)-M107</f>
        <v>0</v>
      </c>
      <c r="R107" s="81">
        <f>SUMPRODUCT(K108:K110,L108:L110)-SUM(M108:M110)</f>
        <v>0</v>
      </c>
      <c r="T107" s="25">
        <f>G107*N107</f>
        <v>0</v>
      </c>
      <c r="V107" s="122">
        <f>(((1+$V$10)^G107)*$V$10)/(((1+$V$10)^G107)-1)</f>
        <v>4.4306137652275909E-2</v>
      </c>
      <c r="W107" s="123">
        <f>IFERROR(N107*V107,0)</f>
        <v>0</v>
      </c>
    </row>
    <row r="108" spans="2:23" s="124" customFormat="1" ht="12.75" hidden="1" customHeight="1" x14ac:dyDescent="0.2">
      <c r="B108" s="125"/>
      <c r="C108" s="126"/>
      <c r="D108" s="127"/>
      <c r="E108" s="180"/>
      <c r="F108" s="181"/>
      <c r="G108" s="114"/>
      <c r="H108" s="130"/>
      <c r="I108" s="131"/>
      <c r="J108" s="132"/>
      <c r="K108" s="133"/>
      <c r="L108" s="134"/>
      <c r="M108" s="499">
        <f>+L108*K108</f>
        <v>0</v>
      </c>
      <c r="N108" s="136"/>
      <c r="O108" s="135"/>
      <c r="Q108" s="137"/>
      <c r="T108" s="138"/>
    </row>
    <row r="109" spans="2:23" s="124" customFormat="1" ht="12.75" x14ac:dyDescent="0.2">
      <c r="B109" s="125"/>
      <c r="C109" s="126"/>
      <c r="D109" s="127"/>
      <c r="E109" s="885"/>
      <c r="F109" s="886"/>
      <c r="G109" s="114"/>
      <c r="H109" s="130"/>
      <c r="I109" s="131"/>
      <c r="J109" s="132"/>
      <c r="K109" s="133"/>
      <c r="L109" s="134"/>
      <c r="M109" s="498">
        <f>+L109*K109</f>
        <v>0</v>
      </c>
      <c r="N109" s="136"/>
      <c r="O109" s="135"/>
      <c r="Q109" s="137"/>
      <c r="T109" s="138"/>
    </row>
    <row r="110" spans="2:23" s="124" customFormat="1" ht="12.75" x14ac:dyDescent="0.2">
      <c r="B110" s="125"/>
      <c r="C110" s="126"/>
      <c r="D110" s="127"/>
      <c r="E110" s="885"/>
      <c r="F110" s="886"/>
      <c r="G110" s="114"/>
      <c r="H110" s="130"/>
      <c r="I110" s="131"/>
      <c r="J110" s="132"/>
      <c r="K110" s="133"/>
      <c r="L110" s="134"/>
      <c r="M110" s="498">
        <f>+L110*K110</f>
        <v>0</v>
      </c>
      <c r="N110" s="136"/>
      <c r="O110" s="135"/>
      <c r="Q110" s="137"/>
      <c r="T110" s="138"/>
    </row>
    <row r="111" spans="2:23" x14ac:dyDescent="0.2">
      <c r="B111" s="109"/>
      <c r="C111" s="110"/>
      <c r="D111" s="141">
        <v>206</v>
      </c>
      <c r="E111" s="52" t="str">
        <f ca="1">OFFSET(Sprachen!A349,0,'START, DÉBUT, INIZIO'!$D$4-1,1,1)</f>
        <v>Wasserschlösser</v>
      </c>
      <c r="F111" s="53"/>
      <c r="G111" s="114">
        <v>80</v>
      </c>
      <c r="H111" s="144"/>
      <c r="I111" s="150"/>
      <c r="J111" s="151"/>
      <c r="K111" s="152"/>
      <c r="L111" s="153"/>
      <c r="M111" s="149">
        <f>+SUMPRODUCT(K112:K114,L112:L114)</f>
        <v>0</v>
      </c>
      <c r="N111" s="121">
        <f>+SUM(N112:N114)</f>
        <v>0</v>
      </c>
      <c r="O111" s="149">
        <f>+SUM(O112:O114)</f>
        <v>0</v>
      </c>
      <c r="Q111" s="81">
        <f>+SUM(N111:O111)-M111</f>
        <v>0</v>
      </c>
      <c r="R111" s="81">
        <f>SUMPRODUCT(K112:K114,L112:L114)-SUM(M112:M114)</f>
        <v>0</v>
      </c>
      <c r="T111" s="25">
        <f>G111*N111</f>
        <v>0</v>
      </c>
      <c r="V111" s="122">
        <f>(((1+$V$10)^G111)*$V$10)/(((1+$V$10)^G111)-1)</f>
        <v>4.4306137652275909E-2</v>
      </c>
      <c r="W111" s="123">
        <f>IFERROR(N111*V111,0)</f>
        <v>0</v>
      </c>
    </row>
    <row r="112" spans="2:23" s="124" customFormat="1" ht="12.75" hidden="1" customHeight="1" x14ac:dyDescent="0.2">
      <c r="B112" s="125"/>
      <c r="C112" s="126"/>
      <c r="D112" s="127"/>
      <c r="E112" s="180"/>
      <c r="F112" s="181"/>
      <c r="G112" s="114"/>
      <c r="H112" s="130"/>
      <c r="I112" s="131"/>
      <c r="J112" s="132"/>
      <c r="K112" s="133"/>
      <c r="L112" s="134"/>
      <c r="M112" s="499">
        <f>+L112*K112</f>
        <v>0</v>
      </c>
      <c r="N112" s="136"/>
      <c r="O112" s="135"/>
      <c r="Q112" s="137"/>
      <c r="T112" s="138"/>
    </row>
    <row r="113" spans="2:23" s="124" customFormat="1" ht="12.75" x14ac:dyDescent="0.2">
      <c r="B113" s="125"/>
      <c r="C113" s="126"/>
      <c r="D113" s="127"/>
      <c r="E113" s="885"/>
      <c r="F113" s="886"/>
      <c r="G113" s="114"/>
      <c r="H113" s="130"/>
      <c r="I113" s="131"/>
      <c r="J113" s="132"/>
      <c r="K113" s="133"/>
      <c r="L113" s="134"/>
      <c r="M113" s="498">
        <f>+L113*K113</f>
        <v>0</v>
      </c>
      <c r="N113" s="136"/>
      <c r="O113" s="135"/>
      <c r="Q113" s="137"/>
      <c r="T113" s="138"/>
    </row>
    <row r="114" spans="2:23" s="124" customFormat="1" ht="12.75" x14ac:dyDescent="0.2">
      <c r="B114" s="125"/>
      <c r="C114" s="126"/>
      <c r="D114" s="127"/>
      <c r="E114" s="885"/>
      <c r="F114" s="886"/>
      <c r="G114" s="114"/>
      <c r="H114" s="130"/>
      <c r="I114" s="131"/>
      <c r="J114" s="132"/>
      <c r="K114" s="133"/>
      <c r="L114" s="134"/>
      <c r="M114" s="498">
        <f>+L114*K114</f>
        <v>0</v>
      </c>
      <c r="N114" s="136"/>
      <c r="O114" s="135"/>
      <c r="Q114" s="137"/>
      <c r="T114" s="138"/>
    </row>
    <row r="115" spans="2:23" x14ac:dyDescent="0.2">
      <c r="B115" s="109"/>
      <c r="C115" s="110"/>
      <c r="D115" s="141">
        <v>207</v>
      </c>
      <c r="E115" s="52" t="str">
        <f ca="1">OFFSET(Sprachen!A350,0,'START, DÉBUT, INIZIO'!$D$4-1,1,1)</f>
        <v>Druckschächte</v>
      </c>
      <c r="F115" s="53"/>
      <c r="G115" s="114">
        <v>80</v>
      </c>
      <c r="H115" s="144"/>
      <c r="I115" s="150"/>
      <c r="J115" s="151"/>
      <c r="K115" s="152"/>
      <c r="L115" s="153"/>
      <c r="M115" s="149">
        <f>+SUMPRODUCT(K116:K118,L116:L118)</f>
        <v>0</v>
      </c>
      <c r="N115" s="121">
        <f>+SUM(N116:N118)</f>
        <v>0</v>
      </c>
      <c r="O115" s="149">
        <f>+SUM(O116:O118)</f>
        <v>0</v>
      </c>
      <c r="Q115" s="81">
        <f>+SUM(N115:O115)-M115</f>
        <v>0</v>
      </c>
      <c r="R115" s="81">
        <f>SUMPRODUCT(K116:K118,L116:L118)-SUM(M116:M118)</f>
        <v>0</v>
      </c>
      <c r="T115" s="25">
        <f>G115*N115</f>
        <v>0</v>
      </c>
      <c r="V115" s="122">
        <f>(((1+$V$10)^G115)*$V$10)/(((1+$V$10)^G115)-1)</f>
        <v>4.4306137652275909E-2</v>
      </c>
      <c r="W115" s="123">
        <f>IFERROR(N115*V115,0)</f>
        <v>0</v>
      </c>
    </row>
    <row r="116" spans="2:23" s="124" customFormat="1" ht="12.75" hidden="1" customHeight="1" x14ac:dyDescent="0.2">
      <c r="B116" s="125"/>
      <c r="C116" s="126"/>
      <c r="D116" s="127"/>
      <c r="E116" s="180"/>
      <c r="F116" s="181"/>
      <c r="G116" s="114"/>
      <c r="H116" s="130"/>
      <c r="I116" s="131"/>
      <c r="J116" s="132"/>
      <c r="K116" s="133"/>
      <c r="L116" s="134"/>
      <c r="M116" s="499">
        <f>+L116*K116</f>
        <v>0</v>
      </c>
      <c r="N116" s="136"/>
      <c r="O116" s="135"/>
      <c r="Q116" s="137"/>
      <c r="T116" s="138"/>
    </row>
    <row r="117" spans="2:23" s="124" customFormat="1" ht="12.75" x14ac:dyDescent="0.2">
      <c r="B117" s="125"/>
      <c r="C117" s="126"/>
      <c r="D117" s="127"/>
      <c r="E117" s="885"/>
      <c r="F117" s="886"/>
      <c r="G117" s="114"/>
      <c r="H117" s="130"/>
      <c r="I117" s="131"/>
      <c r="J117" s="132"/>
      <c r="K117" s="133"/>
      <c r="L117" s="134"/>
      <c r="M117" s="498">
        <f>+L117*K117</f>
        <v>0</v>
      </c>
      <c r="N117" s="136"/>
      <c r="O117" s="135"/>
      <c r="Q117" s="137"/>
      <c r="T117" s="138"/>
    </row>
    <row r="118" spans="2:23" s="124" customFormat="1" ht="12.75" x14ac:dyDescent="0.2">
      <c r="B118" s="125"/>
      <c r="C118" s="126"/>
      <c r="D118" s="127"/>
      <c r="E118" s="885"/>
      <c r="F118" s="886"/>
      <c r="G118" s="114"/>
      <c r="H118" s="130"/>
      <c r="I118" s="131"/>
      <c r="J118" s="132"/>
      <c r="K118" s="133"/>
      <c r="L118" s="134"/>
      <c r="M118" s="498">
        <f>+L118*K118</f>
        <v>0</v>
      </c>
      <c r="N118" s="136"/>
      <c r="O118" s="135"/>
      <c r="Q118" s="137"/>
      <c r="T118" s="138"/>
    </row>
    <row r="119" spans="2:23" x14ac:dyDescent="0.2">
      <c r="B119" s="109"/>
      <c r="C119" s="110"/>
      <c r="D119" s="141">
        <v>208</v>
      </c>
      <c r="E119" s="52" t="str">
        <f ca="1">OFFSET(Sprachen!A351,0,'START, DÉBUT, INIZIO'!$D$4-1,1,1)</f>
        <v>Druckrohrleitung</v>
      </c>
      <c r="F119" s="53"/>
      <c r="G119" s="114">
        <v>50</v>
      </c>
      <c r="H119" s="144"/>
      <c r="I119" s="150"/>
      <c r="J119" s="151"/>
      <c r="K119" s="152"/>
      <c r="L119" s="153"/>
      <c r="M119" s="149">
        <f>+SUMPRODUCT(K120:K122,L120:L122)</f>
        <v>0</v>
      </c>
      <c r="N119" s="121">
        <f>+SUM(N120:N122)</f>
        <v>0</v>
      </c>
      <c r="O119" s="149">
        <f>+SUM(O120:O122)</f>
        <v>0</v>
      </c>
      <c r="Q119" s="81">
        <f>+SUM(N119:O119)-M119</f>
        <v>0</v>
      </c>
      <c r="R119" s="81">
        <f>SUMPRODUCT(K120:K122,L120:L122)-SUM(M120:M122)</f>
        <v>0</v>
      </c>
      <c r="T119" s="25">
        <f>G119*N119</f>
        <v>0</v>
      </c>
      <c r="V119" s="122">
        <f>(((1+$V$10)^G119)*$V$10)/(((1+$V$10)^G119)-1)</f>
        <v>4.8762830809163174E-2</v>
      </c>
      <c r="W119" s="123">
        <f>IFERROR(N119*V119,0)</f>
        <v>0</v>
      </c>
    </row>
    <row r="120" spans="2:23" s="124" customFormat="1" ht="12.75" hidden="1" customHeight="1" x14ac:dyDescent="0.2">
      <c r="B120" s="125"/>
      <c r="C120" s="126"/>
      <c r="D120" s="127"/>
      <c r="E120" s="180"/>
      <c r="F120" s="181"/>
      <c r="G120" s="114"/>
      <c r="H120" s="130"/>
      <c r="I120" s="131"/>
      <c r="J120" s="132"/>
      <c r="K120" s="133"/>
      <c r="L120" s="134"/>
      <c r="M120" s="499">
        <f>+L120*K120</f>
        <v>0</v>
      </c>
      <c r="N120" s="136"/>
      <c r="O120" s="135"/>
      <c r="Q120" s="137"/>
      <c r="T120" s="138"/>
    </row>
    <row r="121" spans="2:23" s="124" customFormat="1" ht="12.75" x14ac:dyDescent="0.2">
      <c r="B121" s="125"/>
      <c r="C121" s="126"/>
      <c r="D121" s="127"/>
      <c r="E121" s="885"/>
      <c r="F121" s="886"/>
      <c r="G121" s="114"/>
      <c r="H121" s="130"/>
      <c r="I121" s="131"/>
      <c r="J121" s="132"/>
      <c r="K121" s="133"/>
      <c r="L121" s="134"/>
      <c r="M121" s="498">
        <f>+L121*K121</f>
        <v>0</v>
      </c>
      <c r="N121" s="136"/>
      <c r="O121" s="135"/>
      <c r="Q121" s="137"/>
      <c r="T121" s="138"/>
    </row>
    <row r="122" spans="2:23" s="124" customFormat="1" ht="12.75" x14ac:dyDescent="0.2">
      <c r="B122" s="125"/>
      <c r="C122" s="126"/>
      <c r="D122" s="127"/>
      <c r="E122" s="885"/>
      <c r="F122" s="886"/>
      <c r="G122" s="114"/>
      <c r="H122" s="130"/>
      <c r="I122" s="131"/>
      <c r="J122" s="132"/>
      <c r="K122" s="133"/>
      <c r="L122" s="134"/>
      <c r="M122" s="498">
        <f>+L122*K122</f>
        <v>0</v>
      </c>
      <c r="N122" s="136"/>
      <c r="O122" s="135"/>
      <c r="Q122" s="137"/>
      <c r="T122" s="138"/>
    </row>
    <row r="123" spans="2:23" x14ac:dyDescent="0.2">
      <c r="B123" s="109"/>
      <c r="C123" s="110"/>
      <c r="D123" s="141">
        <v>209</v>
      </c>
      <c r="E123" s="52" t="str">
        <f ca="1">OFFSET(Sprachen!A352,0,'START, DÉBUT, INIZIO'!$D$4-1,1,1)</f>
        <v>Unterwasserkanal</v>
      </c>
      <c r="F123" s="53"/>
      <c r="G123" s="114">
        <v>80</v>
      </c>
      <c r="H123" s="144"/>
      <c r="I123" s="150"/>
      <c r="J123" s="151"/>
      <c r="K123" s="152"/>
      <c r="L123" s="153"/>
      <c r="M123" s="149">
        <f>+SUMPRODUCT(K124:K126,L124:L126)</f>
        <v>0</v>
      </c>
      <c r="N123" s="121">
        <f>+SUM(N124:N126)</f>
        <v>0</v>
      </c>
      <c r="O123" s="149">
        <f>+SUM(O124:O126)</f>
        <v>0</v>
      </c>
      <c r="Q123" s="81">
        <f>+SUM(N123:O123)-M123</f>
        <v>0</v>
      </c>
      <c r="R123" s="81">
        <f>SUMPRODUCT(K124:K126,L124:L126)-SUM(M124:M126)</f>
        <v>0</v>
      </c>
      <c r="T123" s="25">
        <f>G123*N123</f>
        <v>0</v>
      </c>
      <c r="V123" s="122">
        <f>(((1+$V$10)^G123)*$V$10)/(((1+$V$10)^G123)-1)</f>
        <v>4.4306137652275909E-2</v>
      </c>
      <c r="W123" s="123">
        <f>IFERROR(N123*V123,0)</f>
        <v>0</v>
      </c>
    </row>
    <row r="124" spans="2:23" s="124" customFormat="1" ht="12.75" hidden="1" customHeight="1" x14ac:dyDescent="0.2">
      <c r="B124" s="125"/>
      <c r="C124" s="126"/>
      <c r="D124" s="127"/>
      <c r="E124" s="180"/>
      <c r="F124" s="181"/>
      <c r="G124" s="114"/>
      <c r="H124" s="130"/>
      <c r="I124" s="131"/>
      <c r="J124" s="132"/>
      <c r="K124" s="133"/>
      <c r="L124" s="134"/>
      <c r="M124" s="499">
        <f>+L124*K124</f>
        <v>0</v>
      </c>
      <c r="N124" s="136"/>
      <c r="O124" s="135"/>
      <c r="Q124" s="137"/>
      <c r="T124" s="138"/>
    </row>
    <row r="125" spans="2:23" s="124" customFormat="1" ht="12.75" x14ac:dyDescent="0.2">
      <c r="B125" s="125"/>
      <c r="C125" s="126"/>
      <c r="D125" s="127"/>
      <c r="E125" s="885"/>
      <c r="F125" s="886"/>
      <c r="G125" s="114"/>
      <c r="H125" s="130"/>
      <c r="I125" s="131"/>
      <c r="J125" s="132"/>
      <c r="K125" s="133"/>
      <c r="L125" s="134"/>
      <c r="M125" s="498">
        <f>+L125*K125</f>
        <v>0</v>
      </c>
      <c r="N125" s="136"/>
      <c r="O125" s="135"/>
      <c r="Q125" s="137"/>
      <c r="T125" s="138"/>
    </row>
    <row r="126" spans="2:23" s="124" customFormat="1" ht="12.75" x14ac:dyDescent="0.2">
      <c r="B126" s="125"/>
      <c r="C126" s="126"/>
      <c r="D126" s="127"/>
      <c r="E126" s="885"/>
      <c r="F126" s="886"/>
      <c r="G126" s="114"/>
      <c r="H126" s="130"/>
      <c r="I126" s="131"/>
      <c r="J126" s="132"/>
      <c r="K126" s="133"/>
      <c r="L126" s="134"/>
      <c r="M126" s="498">
        <f>+L126*K126</f>
        <v>0</v>
      </c>
      <c r="N126" s="136"/>
      <c r="O126" s="135"/>
      <c r="Q126" s="137"/>
      <c r="T126" s="138"/>
    </row>
    <row r="127" spans="2:23" x14ac:dyDescent="0.2">
      <c r="B127" s="109"/>
      <c r="C127" s="110"/>
      <c r="D127" s="141">
        <v>210</v>
      </c>
      <c r="E127" s="52" t="str">
        <f ca="1">OFFSET(Sprachen!A353,0,'START, DÉBUT, INIZIO'!$D$4-1,1,1)</f>
        <v>Kavernen (ohne Zentralenkaverne)</v>
      </c>
      <c r="F127" s="53"/>
      <c r="G127" s="114">
        <v>80</v>
      </c>
      <c r="H127" s="144"/>
      <c r="I127" s="150"/>
      <c r="J127" s="151"/>
      <c r="K127" s="152"/>
      <c r="L127" s="153"/>
      <c r="M127" s="149">
        <f>+SUMPRODUCT(K128:K130,L128:L130)</f>
        <v>0</v>
      </c>
      <c r="N127" s="121">
        <f>+SUM(N128:N130)</f>
        <v>0</v>
      </c>
      <c r="O127" s="149">
        <f>+SUM(O128:O130)</f>
        <v>0</v>
      </c>
      <c r="Q127" s="81">
        <f>+SUM(N127:O127)-M127</f>
        <v>0</v>
      </c>
      <c r="R127" s="81">
        <f>SUMPRODUCT(K128:K130,L128:L130)-SUM(M128:M130)</f>
        <v>0</v>
      </c>
      <c r="T127" s="25">
        <f>G127*N127</f>
        <v>0</v>
      </c>
      <c r="V127" s="122">
        <f>(((1+$V$10)^G127)*$V$10)/(((1+$V$10)^G127)-1)</f>
        <v>4.4306137652275909E-2</v>
      </c>
      <c r="W127" s="123">
        <f>IFERROR(N127*V127,0)</f>
        <v>0</v>
      </c>
    </row>
    <row r="128" spans="2:23" s="124" customFormat="1" ht="12.75" hidden="1" customHeight="1" x14ac:dyDescent="0.2">
      <c r="B128" s="125"/>
      <c r="C128" s="126"/>
      <c r="D128" s="127"/>
      <c r="E128" s="180"/>
      <c r="F128" s="181"/>
      <c r="G128" s="114"/>
      <c r="H128" s="130"/>
      <c r="I128" s="131"/>
      <c r="J128" s="132"/>
      <c r="K128" s="133"/>
      <c r="L128" s="134"/>
      <c r="M128" s="499">
        <f>+L128*K128</f>
        <v>0</v>
      </c>
      <c r="N128" s="136"/>
      <c r="O128" s="135"/>
      <c r="Q128" s="137"/>
      <c r="T128" s="138"/>
    </row>
    <row r="129" spans="2:23" s="124" customFormat="1" ht="12.75" x14ac:dyDescent="0.2">
      <c r="B129" s="125"/>
      <c r="C129" s="126"/>
      <c r="D129" s="127"/>
      <c r="E129" s="885"/>
      <c r="F129" s="886"/>
      <c r="G129" s="114"/>
      <c r="H129" s="130"/>
      <c r="I129" s="131"/>
      <c r="J129" s="132"/>
      <c r="K129" s="133"/>
      <c r="L129" s="134"/>
      <c r="M129" s="498">
        <f>+L129*K129</f>
        <v>0</v>
      </c>
      <c r="N129" s="136"/>
      <c r="O129" s="135"/>
      <c r="Q129" s="137"/>
      <c r="T129" s="138"/>
    </row>
    <row r="130" spans="2:23" s="124" customFormat="1" ht="12.75" x14ac:dyDescent="0.2">
      <c r="B130" s="125"/>
      <c r="C130" s="126"/>
      <c r="D130" s="127"/>
      <c r="E130" s="885"/>
      <c r="F130" s="886"/>
      <c r="G130" s="114"/>
      <c r="H130" s="130"/>
      <c r="I130" s="131"/>
      <c r="J130" s="132"/>
      <c r="K130" s="133"/>
      <c r="L130" s="134"/>
      <c r="M130" s="498">
        <f>+L130*K130</f>
        <v>0</v>
      </c>
      <c r="N130" s="136"/>
      <c r="O130" s="135"/>
      <c r="Q130" s="137"/>
      <c r="T130" s="138"/>
    </row>
    <row r="131" spans="2:23" x14ac:dyDescent="0.2">
      <c r="B131" s="109"/>
      <c r="C131" s="110"/>
      <c r="D131" s="141">
        <v>211</v>
      </c>
      <c r="E131" s="52" t="str">
        <f ca="1">OFFSET(Sprachen!A354,0,'START, DÉBUT, INIZIO'!$D$4-1,1,1)</f>
        <v>Stollen und Schächte (Erschliessung)</v>
      </c>
      <c r="F131" s="53"/>
      <c r="G131" s="114">
        <v>80</v>
      </c>
      <c r="H131" s="144"/>
      <c r="I131" s="150"/>
      <c r="J131" s="151"/>
      <c r="K131" s="152"/>
      <c r="L131" s="153"/>
      <c r="M131" s="149">
        <f>+SUMPRODUCT(K132:K134,L132:L134)</f>
        <v>0</v>
      </c>
      <c r="N131" s="121">
        <f>+SUM(N132:N134)</f>
        <v>0</v>
      </c>
      <c r="O131" s="149">
        <f>+SUM(O132:O134)</f>
        <v>0</v>
      </c>
      <c r="Q131" s="81">
        <f>+SUM(N131:O131)-M131</f>
        <v>0</v>
      </c>
      <c r="R131" s="81">
        <f>SUMPRODUCT(K132:K134,L132:L134)-SUM(M132:M134)</f>
        <v>0</v>
      </c>
      <c r="T131" s="25">
        <f>G131*N131</f>
        <v>0</v>
      </c>
      <c r="V131" s="122">
        <f>(((1+$V$10)^G131)*$V$10)/(((1+$V$10)^G131)-1)</f>
        <v>4.4306137652275909E-2</v>
      </c>
      <c r="W131" s="123">
        <f>IFERROR(N131*V131,0)</f>
        <v>0</v>
      </c>
    </row>
    <row r="132" spans="2:23" s="124" customFormat="1" ht="12.75" hidden="1" customHeight="1" x14ac:dyDescent="0.2">
      <c r="B132" s="125"/>
      <c r="C132" s="126"/>
      <c r="D132" s="127"/>
      <c r="E132" s="180"/>
      <c r="F132" s="181"/>
      <c r="G132" s="114"/>
      <c r="H132" s="130"/>
      <c r="I132" s="131"/>
      <c r="J132" s="132"/>
      <c r="K132" s="133"/>
      <c r="L132" s="134"/>
      <c r="M132" s="499">
        <f>+L132*K132</f>
        <v>0</v>
      </c>
      <c r="N132" s="136"/>
      <c r="O132" s="135"/>
      <c r="Q132" s="137"/>
      <c r="T132" s="138"/>
    </row>
    <row r="133" spans="2:23" s="124" customFormat="1" ht="12.75" x14ac:dyDescent="0.2">
      <c r="B133" s="125"/>
      <c r="C133" s="126"/>
      <c r="D133" s="127"/>
      <c r="E133" s="885"/>
      <c r="F133" s="886"/>
      <c r="G133" s="114"/>
      <c r="H133" s="130"/>
      <c r="I133" s="131"/>
      <c r="J133" s="132"/>
      <c r="K133" s="133"/>
      <c r="L133" s="134"/>
      <c r="M133" s="498">
        <f>+L133*K133</f>
        <v>0</v>
      </c>
      <c r="N133" s="136"/>
      <c r="O133" s="135"/>
      <c r="Q133" s="137"/>
      <c r="T133" s="138"/>
    </row>
    <row r="134" spans="2:23" s="124" customFormat="1" ht="12.75" x14ac:dyDescent="0.2">
      <c r="B134" s="125"/>
      <c r="C134" s="126"/>
      <c r="D134" s="127"/>
      <c r="E134" s="885"/>
      <c r="F134" s="886"/>
      <c r="G134" s="114"/>
      <c r="H134" s="130"/>
      <c r="I134" s="131"/>
      <c r="J134" s="132"/>
      <c r="K134" s="133"/>
      <c r="L134" s="134"/>
      <c r="M134" s="498">
        <f>+L134*K134</f>
        <v>0</v>
      </c>
      <c r="N134" s="136"/>
      <c r="O134" s="135"/>
      <c r="Q134" s="137"/>
      <c r="T134" s="138"/>
    </row>
    <row r="135" spans="2:23" x14ac:dyDescent="0.2">
      <c r="B135" s="109"/>
      <c r="C135" s="110"/>
      <c r="D135" s="141">
        <v>212</v>
      </c>
      <c r="E135" s="52" t="str">
        <f ca="1">OFFSET(Sprachen!A355,0,'START, DÉBUT, INIZIO'!$D$4-1,1,1)</f>
        <v>Ausgleichsbecken</v>
      </c>
      <c r="F135" s="53"/>
      <c r="G135" s="114">
        <v>80</v>
      </c>
      <c r="H135" s="144"/>
      <c r="I135" s="150"/>
      <c r="J135" s="151"/>
      <c r="K135" s="152"/>
      <c r="L135" s="153"/>
      <c r="M135" s="149">
        <f>+SUMPRODUCT(K136:K138,L136:L138)</f>
        <v>0</v>
      </c>
      <c r="N135" s="121">
        <f>+SUM(N136:N138)</f>
        <v>0</v>
      </c>
      <c r="O135" s="149">
        <f>+SUM(O136:O138)</f>
        <v>0</v>
      </c>
      <c r="Q135" s="81">
        <f>+SUM(N135:O135)-M135</f>
        <v>0</v>
      </c>
      <c r="R135" s="81">
        <f>SUMPRODUCT(K136:K138,L136:L138)-SUM(M136:M138)</f>
        <v>0</v>
      </c>
      <c r="T135" s="25">
        <f>G135*N135</f>
        <v>0</v>
      </c>
      <c r="V135" s="122">
        <f>(((1+$V$10)^G135)*$V$10)/(((1+$V$10)^G135)-1)</f>
        <v>4.4306137652275909E-2</v>
      </c>
      <c r="W135" s="123">
        <f>IFERROR(N135*V135,0)</f>
        <v>0</v>
      </c>
    </row>
    <row r="136" spans="2:23" s="124" customFormat="1" ht="12.75" hidden="1" customHeight="1" x14ac:dyDescent="0.2">
      <c r="B136" s="125"/>
      <c r="C136" s="126"/>
      <c r="D136" s="127"/>
      <c r="E136" s="180"/>
      <c r="F136" s="181"/>
      <c r="G136" s="114"/>
      <c r="H136" s="130"/>
      <c r="I136" s="131"/>
      <c r="J136" s="132"/>
      <c r="K136" s="133"/>
      <c r="L136" s="134"/>
      <c r="M136" s="499">
        <f>+L136*K136</f>
        <v>0</v>
      </c>
      <c r="N136" s="136"/>
      <c r="O136" s="135"/>
      <c r="Q136" s="137"/>
      <c r="T136" s="138"/>
    </row>
    <row r="137" spans="2:23" s="124" customFormat="1" ht="12.75" x14ac:dyDescent="0.2">
      <c r="B137" s="125"/>
      <c r="C137" s="126"/>
      <c r="D137" s="127"/>
      <c r="E137" s="885"/>
      <c r="F137" s="886"/>
      <c r="G137" s="114"/>
      <c r="H137" s="130"/>
      <c r="I137" s="131"/>
      <c r="J137" s="132"/>
      <c r="K137" s="133"/>
      <c r="L137" s="134"/>
      <c r="M137" s="498">
        <f>+L137*K137</f>
        <v>0</v>
      </c>
      <c r="N137" s="136"/>
      <c r="O137" s="135"/>
      <c r="Q137" s="137"/>
      <c r="T137" s="138"/>
    </row>
    <row r="138" spans="2:23" s="124" customFormat="1" ht="12.75" x14ac:dyDescent="0.2">
      <c r="B138" s="125"/>
      <c r="C138" s="126"/>
      <c r="D138" s="127"/>
      <c r="E138" s="885"/>
      <c r="F138" s="886"/>
      <c r="G138" s="114"/>
      <c r="H138" s="130"/>
      <c r="I138" s="131"/>
      <c r="J138" s="132"/>
      <c r="K138" s="133"/>
      <c r="L138" s="134"/>
      <c r="M138" s="498">
        <f>+L138*K138</f>
        <v>0</v>
      </c>
      <c r="N138" s="136"/>
      <c r="O138" s="135"/>
      <c r="Q138" s="137"/>
      <c r="T138" s="138"/>
    </row>
    <row r="139" spans="2:23" x14ac:dyDescent="0.2">
      <c r="B139" s="109"/>
      <c r="C139" s="110"/>
      <c r="D139" s="141">
        <v>213</v>
      </c>
      <c r="E139" s="52" t="str">
        <f ca="1">OFFSET(Sprachen!A356,0,'START, DÉBUT, INIZIO'!$D$4-1,1,1)</f>
        <v>Absperrorg. (Schützen, Schieber, Drosselkl., Kugelschieber)</v>
      </c>
      <c r="F139" s="53"/>
      <c r="G139" s="114">
        <v>40</v>
      </c>
      <c r="H139" s="144"/>
      <c r="I139" s="150"/>
      <c r="J139" s="151"/>
      <c r="K139" s="152"/>
      <c r="L139" s="153"/>
      <c r="M139" s="149">
        <f>+SUMPRODUCT(K140:K142,L140:L142)</f>
        <v>0</v>
      </c>
      <c r="N139" s="121">
        <f>+SUM(N140:N142)</f>
        <v>0</v>
      </c>
      <c r="O139" s="149">
        <f>+SUM(O140:O142)</f>
        <v>0</v>
      </c>
      <c r="Q139" s="81">
        <f>+SUM(N139:O139)-M139</f>
        <v>0</v>
      </c>
      <c r="R139" s="81">
        <f>SUMPRODUCT(K140:K142,L140:L142)-SUM(M140:M142)</f>
        <v>0</v>
      </c>
      <c r="T139" s="25">
        <f>G139*N139</f>
        <v>0</v>
      </c>
      <c r="V139" s="122">
        <f>(((1+$V$10)^G139)*$V$10)/(((1+$V$10)^G139)-1)</f>
        <v>5.2609537499785704E-2</v>
      </c>
      <c r="W139" s="123">
        <f>IFERROR(N139*V139,0)</f>
        <v>0</v>
      </c>
    </row>
    <row r="140" spans="2:23" s="124" customFormat="1" ht="12.75" hidden="1" customHeight="1" x14ac:dyDescent="0.2">
      <c r="B140" s="125"/>
      <c r="C140" s="126"/>
      <c r="D140" s="127"/>
      <c r="E140" s="180"/>
      <c r="F140" s="181"/>
      <c r="G140" s="114"/>
      <c r="H140" s="130"/>
      <c r="I140" s="131"/>
      <c r="J140" s="132"/>
      <c r="K140" s="133"/>
      <c r="L140" s="134"/>
      <c r="M140" s="499">
        <f>+L140*K140</f>
        <v>0</v>
      </c>
      <c r="N140" s="136"/>
      <c r="O140" s="135"/>
      <c r="Q140" s="137"/>
      <c r="T140" s="138"/>
    </row>
    <row r="141" spans="2:23" s="124" customFormat="1" ht="12.75" x14ac:dyDescent="0.2">
      <c r="B141" s="125"/>
      <c r="C141" s="126"/>
      <c r="D141" s="127"/>
      <c r="E141" s="885"/>
      <c r="F141" s="886"/>
      <c r="G141" s="114"/>
      <c r="H141" s="130"/>
      <c r="I141" s="131"/>
      <c r="J141" s="132"/>
      <c r="K141" s="133"/>
      <c r="L141" s="134"/>
      <c r="M141" s="498">
        <f>+L141*K141</f>
        <v>0</v>
      </c>
      <c r="N141" s="136"/>
      <c r="O141" s="135"/>
      <c r="Q141" s="137"/>
      <c r="T141" s="138"/>
    </row>
    <row r="142" spans="2:23" s="124" customFormat="1" ht="12.75" x14ac:dyDescent="0.2">
      <c r="B142" s="125"/>
      <c r="C142" s="126"/>
      <c r="D142" s="127"/>
      <c r="E142" s="885"/>
      <c r="F142" s="886"/>
      <c r="G142" s="114"/>
      <c r="H142" s="130"/>
      <c r="I142" s="131"/>
      <c r="J142" s="132"/>
      <c r="K142" s="133"/>
      <c r="L142" s="134"/>
      <c r="M142" s="498">
        <f>+L142*K142</f>
        <v>0</v>
      </c>
      <c r="N142" s="136"/>
      <c r="O142" s="135"/>
      <c r="Q142" s="137"/>
      <c r="T142" s="138"/>
    </row>
    <row r="143" spans="2:23" x14ac:dyDescent="0.2">
      <c r="B143" s="109"/>
      <c r="C143" s="110"/>
      <c r="D143" s="141">
        <v>214</v>
      </c>
      <c r="E143" s="52" t="str">
        <f ca="1">OFFSET(Sprachen!A357,0,'START, DÉBUT, INIZIO'!$D$4-1,1,1)</f>
        <v>Hebezeuge und Hilfseinrichtungen</v>
      </c>
      <c r="F143" s="53"/>
      <c r="G143" s="114">
        <v>30</v>
      </c>
      <c r="H143" s="144"/>
      <c r="I143" s="150"/>
      <c r="J143" s="151"/>
      <c r="K143" s="152"/>
      <c r="L143" s="153"/>
      <c r="M143" s="149">
        <f>+SUMPRODUCT(K144:K146,L144:L146)</f>
        <v>0</v>
      </c>
      <c r="N143" s="121">
        <f>+SUM(N144:N146)</f>
        <v>0</v>
      </c>
      <c r="O143" s="149">
        <f>+SUM(O144:O146)</f>
        <v>0</v>
      </c>
      <c r="Q143" s="81">
        <f>+SUM(N143:O143)-M143</f>
        <v>0</v>
      </c>
      <c r="R143" s="81">
        <f>SUMPRODUCT(K144:K146,L144:L146)-SUM(M144:M146)</f>
        <v>0</v>
      </c>
      <c r="T143" s="25">
        <f>G143*N143</f>
        <v>0</v>
      </c>
      <c r="V143" s="122">
        <f>(((1+$V$10)^G143)*$V$10)/(((1+$V$10)^G143)-1)</f>
        <v>5.9776453108272141E-2</v>
      </c>
      <c r="W143" s="123">
        <f>IFERROR(N143*V143,0)</f>
        <v>0</v>
      </c>
    </row>
    <row r="144" spans="2:23" s="124" customFormat="1" ht="12.75" hidden="1" customHeight="1" x14ac:dyDescent="0.2">
      <c r="B144" s="125"/>
      <c r="C144" s="126"/>
      <c r="D144" s="127"/>
      <c r="E144" s="180"/>
      <c r="F144" s="181"/>
      <c r="G144" s="114"/>
      <c r="H144" s="130"/>
      <c r="I144" s="131"/>
      <c r="J144" s="132"/>
      <c r="K144" s="133"/>
      <c r="L144" s="134"/>
      <c r="M144" s="499">
        <f>+L144*K144</f>
        <v>0</v>
      </c>
      <c r="N144" s="136"/>
      <c r="O144" s="135"/>
      <c r="Q144" s="137"/>
      <c r="T144" s="138"/>
    </row>
    <row r="145" spans="2:23" s="124" customFormat="1" ht="12.75" x14ac:dyDescent="0.2">
      <c r="B145" s="125"/>
      <c r="C145" s="126"/>
      <c r="D145" s="127"/>
      <c r="E145" s="885"/>
      <c r="F145" s="886"/>
      <c r="G145" s="114"/>
      <c r="H145" s="130"/>
      <c r="I145" s="131"/>
      <c r="J145" s="132"/>
      <c r="K145" s="133"/>
      <c r="L145" s="134"/>
      <c r="M145" s="498">
        <f>+L145*K145</f>
        <v>0</v>
      </c>
      <c r="N145" s="136"/>
      <c r="O145" s="135"/>
      <c r="Q145" s="137"/>
      <c r="T145" s="138"/>
    </row>
    <row r="146" spans="2:23" s="124" customFormat="1" ht="12.75" x14ac:dyDescent="0.2">
      <c r="B146" s="125"/>
      <c r="C146" s="126"/>
      <c r="D146" s="127"/>
      <c r="E146" s="885"/>
      <c r="F146" s="886"/>
      <c r="G146" s="114"/>
      <c r="H146" s="130"/>
      <c r="I146" s="131"/>
      <c r="J146" s="132"/>
      <c r="K146" s="133"/>
      <c r="L146" s="134"/>
      <c r="M146" s="498">
        <f>+L146*K146</f>
        <v>0</v>
      </c>
      <c r="N146" s="136"/>
      <c r="O146" s="135"/>
      <c r="Q146" s="137"/>
      <c r="T146" s="138"/>
    </row>
    <row r="147" spans="2:23" x14ac:dyDescent="0.2">
      <c r="B147" s="109"/>
      <c r="C147" s="110"/>
      <c r="D147" s="141">
        <v>215</v>
      </c>
      <c r="E147" s="52" t="str">
        <f ca="1">OFFSET(Sprachen!A358,0,'START, DÉBUT, INIZIO'!$D$4-1,1,1)</f>
        <v>Eigenbedarfs- und Notstromanlagen</v>
      </c>
      <c r="F147" s="53"/>
      <c r="G147" s="114">
        <v>30</v>
      </c>
      <c r="H147" s="144"/>
      <c r="I147" s="150"/>
      <c r="J147" s="151"/>
      <c r="K147" s="152"/>
      <c r="L147" s="153"/>
      <c r="M147" s="149">
        <f>+SUMPRODUCT(K148:K150,L148:L150)</f>
        <v>0</v>
      </c>
      <c r="N147" s="121">
        <f>+SUM(N148:N150)</f>
        <v>0</v>
      </c>
      <c r="O147" s="149">
        <f>+SUM(O148:O150)</f>
        <v>0</v>
      </c>
      <c r="Q147" s="81">
        <f>+SUM(N147:O147)-M147</f>
        <v>0</v>
      </c>
      <c r="R147" s="81">
        <f>SUMPRODUCT(K148:K150,L148:L150)-SUM(M148:M150)</f>
        <v>0</v>
      </c>
      <c r="T147" s="25">
        <f>G147*N147</f>
        <v>0</v>
      </c>
      <c r="V147" s="122">
        <f>(((1+$V$10)^G147)*$V$10)/(((1+$V$10)^G147)-1)</f>
        <v>5.9776453108272141E-2</v>
      </c>
      <c r="W147" s="123">
        <f>IFERROR(N147*V147,0)</f>
        <v>0</v>
      </c>
    </row>
    <row r="148" spans="2:23" s="124" customFormat="1" ht="12.75" hidden="1" customHeight="1" x14ac:dyDescent="0.2">
      <c r="B148" s="125"/>
      <c r="C148" s="126"/>
      <c r="D148" s="127"/>
      <c r="E148" s="180"/>
      <c r="F148" s="181"/>
      <c r="G148" s="114"/>
      <c r="H148" s="130"/>
      <c r="I148" s="131"/>
      <c r="J148" s="132"/>
      <c r="K148" s="133"/>
      <c r="L148" s="134"/>
      <c r="M148" s="499">
        <f>+L148*K148</f>
        <v>0</v>
      </c>
      <c r="N148" s="136"/>
      <c r="O148" s="135"/>
      <c r="Q148" s="137"/>
      <c r="T148" s="138"/>
    </row>
    <row r="149" spans="2:23" s="124" customFormat="1" ht="12.75" x14ac:dyDescent="0.2">
      <c r="B149" s="125"/>
      <c r="C149" s="126"/>
      <c r="D149" s="127"/>
      <c r="E149" s="885"/>
      <c r="F149" s="886"/>
      <c r="G149" s="114"/>
      <c r="H149" s="130"/>
      <c r="I149" s="131"/>
      <c r="J149" s="132"/>
      <c r="K149" s="133"/>
      <c r="L149" s="134"/>
      <c r="M149" s="498">
        <f>+L149*K149</f>
        <v>0</v>
      </c>
      <c r="N149" s="136"/>
      <c r="O149" s="135"/>
      <c r="Q149" s="137"/>
      <c r="T149" s="138"/>
    </row>
    <row r="150" spans="2:23" s="124" customFormat="1" ht="12.75" x14ac:dyDescent="0.2">
      <c r="B150" s="125"/>
      <c r="C150" s="126"/>
      <c r="D150" s="127"/>
      <c r="E150" s="885"/>
      <c r="F150" s="886"/>
      <c r="G150" s="114"/>
      <c r="H150" s="130"/>
      <c r="I150" s="131"/>
      <c r="J150" s="132"/>
      <c r="K150" s="133"/>
      <c r="L150" s="134"/>
      <c r="M150" s="498">
        <f>+L150*K150</f>
        <v>0</v>
      </c>
      <c r="N150" s="136"/>
      <c r="O150" s="135"/>
      <c r="Q150" s="137"/>
      <c r="T150" s="138"/>
    </row>
    <row r="151" spans="2:23" x14ac:dyDescent="0.2">
      <c r="B151" s="109"/>
      <c r="C151" s="110"/>
      <c r="D151" s="141">
        <v>216</v>
      </c>
      <c r="E151" s="52" t="str">
        <f ca="1">OFFSET(Sprachen!A359,0,'START, DÉBUT, INIZIO'!$D$4-1,1,1)</f>
        <v>Baunebengewerbe</v>
      </c>
      <c r="F151" s="53"/>
      <c r="G151" s="114">
        <v>40</v>
      </c>
      <c r="H151" s="144"/>
      <c r="I151" s="150"/>
      <c r="J151" s="151"/>
      <c r="K151" s="152"/>
      <c r="L151" s="153"/>
      <c r="M151" s="149">
        <f>+SUMPRODUCT(K152:K154,L152:L154)</f>
        <v>0</v>
      </c>
      <c r="N151" s="121">
        <f>+SUM(N152:N154)</f>
        <v>0</v>
      </c>
      <c r="O151" s="149">
        <f>+SUM(O152:O154)</f>
        <v>0</v>
      </c>
      <c r="Q151" s="81">
        <f>+SUM(N151:O151)-M151</f>
        <v>0</v>
      </c>
      <c r="R151" s="81">
        <f>SUMPRODUCT(K152:K154,L152:L154)-SUM(M152:M154)</f>
        <v>0</v>
      </c>
      <c r="T151" s="25">
        <f>G151*N151</f>
        <v>0</v>
      </c>
      <c r="V151" s="122">
        <f>(((1+$V$10)^G151)*$V$10)/(((1+$V$10)^G151)-1)</f>
        <v>5.2609537499785704E-2</v>
      </c>
      <c r="W151" s="123">
        <f>IFERROR(N151*V151,0)</f>
        <v>0</v>
      </c>
    </row>
    <row r="152" spans="2:23" s="124" customFormat="1" ht="12.75" hidden="1" customHeight="1" x14ac:dyDescent="0.2">
      <c r="B152" s="125"/>
      <c r="C152" s="126"/>
      <c r="D152" s="127"/>
      <c r="E152" s="180"/>
      <c r="F152" s="181"/>
      <c r="G152" s="114"/>
      <c r="H152" s="130"/>
      <c r="I152" s="131"/>
      <c r="J152" s="132"/>
      <c r="K152" s="133"/>
      <c r="L152" s="134"/>
      <c r="M152" s="499">
        <f>+L152*K152</f>
        <v>0</v>
      </c>
      <c r="N152" s="136"/>
      <c r="O152" s="135"/>
      <c r="Q152" s="137"/>
      <c r="T152" s="138"/>
    </row>
    <row r="153" spans="2:23" s="124" customFormat="1" ht="12.75" x14ac:dyDescent="0.2">
      <c r="B153" s="125"/>
      <c r="C153" s="126"/>
      <c r="D153" s="127"/>
      <c r="E153" s="885"/>
      <c r="F153" s="886"/>
      <c r="G153" s="114"/>
      <c r="H153" s="130"/>
      <c r="I153" s="131"/>
      <c r="J153" s="132"/>
      <c r="K153" s="133"/>
      <c r="L153" s="134"/>
      <c r="M153" s="498">
        <f>+L153*K153</f>
        <v>0</v>
      </c>
      <c r="N153" s="136"/>
      <c r="O153" s="135"/>
      <c r="Q153" s="137"/>
      <c r="T153" s="138"/>
    </row>
    <row r="154" spans="2:23" s="124" customFormat="1" ht="12.75" x14ac:dyDescent="0.2">
      <c r="B154" s="125"/>
      <c r="C154" s="126"/>
      <c r="D154" s="127"/>
      <c r="E154" s="885"/>
      <c r="F154" s="886"/>
      <c r="G154" s="114"/>
      <c r="H154" s="130"/>
      <c r="I154" s="131"/>
      <c r="J154" s="132"/>
      <c r="K154" s="133"/>
      <c r="L154" s="134"/>
      <c r="M154" s="498">
        <f>+L154*K154</f>
        <v>0</v>
      </c>
      <c r="N154" s="136"/>
      <c r="O154" s="135"/>
      <c r="Q154" s="137"/>
      <c r="T154" s="138"/>
    </row>
    <row r="155" spans="2:23" x14ac:dyDescent="0.2">
      <c r="B155" s="109"/>
      <c r="C155" s="110"/>
      <c r="D155" s="141">
        <v>217</v>
      </c>
      <c r="E155" s="52" t="str">
        <f ca="1">OFFSET(Sprachen!A360,0,'START, DÉBUT, INIZIO'!$D$4-1,1,1)</f>
        <v>Ersatzteile</v>
      </c>
      <c r="F155" s="53"/>
      <c r="G155" s="114">
        <v>40</v>
      </c>
      <c r="H155" s="144"/>
      <c r="I155" s="150"/>
      <c r="J155" s="151"/>
      <c r="K155" s="152"/>
      <c r="L155" s="153"/>
      <c r="M155" s="149">
        <f>+SUMPRODUCT(K156:K158,L156:L158)</f>
        <v>0</v>
      </c>
      <c r="N155" s="121">
        <f>+SUM(N156:N158)</f>
        <v>0</v>
      </c>
      <c r="O155" s="149">
        <f>+SUM(O156:O158)</f>
        <v>0</v>
      </c>
      <c r="Q155" s="81">
        <f>+SUM(N155:O155)-M155</f>
        <v>0</v>
      </c>
      <c r="R155" s="81">
        <f>SUMPRODUCT(K156:K158,L156:L158)-SUM(M156:M158)</f>
        <v>0</v>
      </c>
      <c r="T155" s="25">
        <f>G155*N155</f>
        <v>0</v>
      </c>
      <c r="V155" s="122">
        <f>(((1+$V$10)^G155)*$V$10)/(((1+$V$10)^G155)-1)</f>
        <v>5.2609537499785704E-2</v>
      </c>
      <c r="W155" s="123">
        <f>IFERROR(N155*V155,0)</f>
        <v>0</v>
      </c>
    </row>
    <row r="156" spans="2:23" s="124" customFormat="1" ht="12" hidden="1" customHeight="1" x14ac:dyDescent="0.2">
      <c r="B156" s="125"/>
      <c r="C156" s="126"/>
      <c r="D156" s="127"/>
      <c r="E156" s="180"/>
      <c r="F156" s="181"/>
      <c r="G156" s="159"/>
      <c r="H156" s="130"/>
      <c r="I156" s="131"/>
      <c r="J156" s="132"/>
      <c r="K156" s="133"/>
      <c r="L156" s="134"/>
      <c r="M156" s="499">
        <f>+L156*K156</f>
        <v>0</v>
      </c>
      <c r="N156" s="136"/>
      <c r="O156" s="135"/>
      <c r="Q156" s="137"/>
      <c r="T156" s="138"/>
    </row>
    <row r="157" spans="2:23" s="124" customFormat="1" ht="12.75" x14ac:dyDescent="0.2">
      <c r="B157" s="125"/>
      <c r="C157" s="126"/>
      <c r="D157" s="127"/>
      <c r="E157" s="885"/>
      <c r="F157" s="886"/>
      <c r="G157" s="114"/>
      <c r="H157" s="130"/>
      <c r="I157" s="131"/>
      <c r="J157" s="132"/>
      <c r="K157" s="133"/>
      <c r="L157" s="134"/>
      <c r="M157" s="498">
        <f>+L157*K157</f>
        <v>0</v>
      </c>
      <c r="N157" s="136"/>
      <c r="O157" s="135"/>
      <c r="Q157" s="137"/>
      <c r="T157" s="138"/>
    </row>
    <row r="158" spans="2:23" s="124" customFormat="1" ht="12.75" x14ac:dyDescent="0.2">
      <c r="B158" s="125"/>
      <c r="C158" s="126"/>
      <c r="D158" s="127"/>
      <c r="E158" s="885"/>
      <c r="F158" s="886"/>
      <c r="G158" s="114"/>
      <c r="H158" s="130"/>
      <c r="I158" s="131"/>
      <c r="J158" s="132"/>
      <c r="K158" s="133"/>
      <c r="L158" s="134"/>
      <c r="M158" s="498">
        <f>+L158*K158</f>
        <v>0</v>
      </c>
      <c r="N158" s="136"/>
      <c r="O158" s="135"/>
      <c r="Q158" s="137"/>
      <c r="T158" s="138"/>
    </row>
    <row r="159" spans="2:23" ht="4.9000000000000004" customHeight="1" x14ac:dyDescent="0.2">
      <c r="B159" s="109"/>
      <c r="C159" s="110"/>
      <c r="D159" s="160"/>
      <c r="E159" s="183"/>
      <c r="F159" s="184"/>
      <c r="G159" s="185"/>
      <c r="H159" s="161"/>
      <c r="I159" s="162"/>
      <c r="J159" s="163"/>
      <c r="K159" s="164"/>
      <c r="L159" s="165"/>
      <c r="M159" s="149"/>
      <c r="N159" s="121"/>
      <c r="O159" s="149"/>
      <c r="Q159" s="157"/>
    </row>
    <row r="160" spans="2:23" x14ac:dyDescent="0.2">
      <c r="B160" s="109"/>
      <c r="C160" s="110"/>
      <c r="D160" s="141">
        <v>218</v>
      </c>
      <c r="E160" s="885" t="s">
        <v>46</v>
      </c>
      <c r="F160" s="886"/>
      <c r="G160" s="158"/>
      <c r="H160" s="144"/>
      <c r="I160" s="145"/>
      <c r="J160" s="146"/>
      <c r="K160" s="147"/>
      <c r="L160" s="148"/>
      <c r="M160" s="149">
        <f>+SUMPRODUCT(K161:K163,L161:L163)</f>
        <v>0</v>
      </c>
      <c r="N160" s="121">
        <f>+SUM(N161:N163)</f>
        <v>0</v>
      </c>
      <c r="O160" s="149">
        <f>+SUM(O161:O163)</f>
        <v>0</v>
      </c>
      <c r="Q160" s="81">
        <f>+SUM(N160:O160)-M160</f>
        <v>0</v>
      </c>
      <c r="R160" s="81">
        <f>SUMPRODUCT(K161:K163,L161:L163)-SUM(M161:M163)</f>
        <v>0</v>
      </c>
      <c r="T160" s="25">
        <f>G160*N160</f>
        <v>0</v>
      </c>
      <c r="V160" s="122" t="e">
        <f>(((1+$V$10)^G160)*$V$10)/(((1+$V$10)^G160)-1)</f>
        <v>#DIV/0!</v>
      </c>
      <c r="W160" s="123">
        <f>IFERROR(N160*V160,0)</f>
        <v>0</v>
      </c>
    </row>
    <row r="161" spans="2:23" s="124" customFormat="1" ht="12" hidden="1" customHeight="1" x14ac:dyDescent="0.2">
      <c r="B161" s="125"/>
      <c r="C161" s="126"/>
      <c r="D161" s="127"/>
      <c r="E161" s="885"/>
      <c r="F161" s="886"/>
      <c r="G161" s="159"/>
      <c r="H161" s="130"/>
      <c r="I161" s="131"/>
      <c r="J161" s="132"/>
      <c r="K161" s="133"/>
      <c r="L161" s="134"/>
      <c r="M161" s="499">
        <f>+L161*K161</f>
        <v>0</v>
      </c>
      <c r="N161" s="136"/>
      <c r="O161" s="135"/>
      <c r="Q161" s="137"/>
      <c r="T161" s="138"/>
    </row>
    <row r="162" spans="2:23" s="124" customFormat="1" ht="12.75" x14ac:dyDescent="0.2">
      <c r="B162" s="125"/>
      <c r="C162" s="126"/>
      <c r="D162" s="127"/>
      <c r="E162" s="885"/>
      <c r="F162" s="886"/>
      <c r="G162" s="114"/>
      <c r="H162" s="130"/>
      <c r="I162" s="131"/>
      <c r="J162" s="132"/>
      <c r="K162" s="133"/>
      <c r="L162" s="134"/>
      <c r="M162" s="498">
        <f>+L162*K162</f>
        <v>0</v>
      </c>
      <c r="N162" s="136"/>
      <c r="O162" s="135"/>
      <c r="Q162" s="137"/>
      <c r="T162" s="138"/>
    </row>
    <row r="163" spans="2:23" s="124" customFormat="1" ht="12.75" x14ac:dyDescent="0.2">
      <c r="B163" s="125"/>
      <c r="C163" s="126"/>
      <c r="D163" s="127"/>
      <c r="E163" s="885"/>
      <c r="F163" s="886"/>
      <c r="G163" s="114"/>
      <c r="H163" s="130"/>
      <c r="I163" s="131"/>
      <c r="J163" s="132"/>
      <c r="K163" s="133"/>
      <c r="L163" s="134"/>
      <c r="M163" s="498">
        <f>+L163*K163</f>
        <v>0</v>
      </c>
      <c r="N163" s="136"/>
      <c r="O163" s="135"/>
      <c r="Q163" s="137"/>
      <c r="T163" s="138"/>
    </row>
    <row r="164" spans="2:23" ht="4.9000000000000004" customHeight="1" x14ac:dyDescent="0.2">
      <c r="B164" s="109"/>
      <c r="C164" s="110"/>
      <c r="D164" s="160"/>
      <c r="E164" s="183"/>
      <c r="F164" s="184"/>
      <c r="G164" s="185"/>
      <c r="H164" s="161"/>
      <c r="I164" s="162"/>
      <c r="J164" s="163"/>
      <c r="K164" s="164"/>
      <c r="L164" s="165"/>
      <c r="M164" s="149"/>
      <c r="N164" s="121"/>
      <c r="O164" s="149"/>
      <c r="Q164" s="157"/>
    </row>
    <row r="165" spans="2:23" x14ac:dyDescent="0.2">
      <c r="B165" s="109"/>
      <c r="C165" s="110"/>
      <c r="D165" s="141">
        <v>219</v>
      </c>
      <c r="E165" s="885" t="s">
        <v>46</v>
      </c>
      <c r="F165" s="886"/>
      <c r="G165" s="158"/>
      <c r="H165" s="144"/>
      <c r="I165" s="145"/>
      <c r="J165" s="146"/>
      <c r="K165" s="147"/>
      <c r="L165" s="148"/>
      <c r="M165" s="149">
        <f>+SUMPRODUCT(K166:K168,L166:L168)</f>
        <v>0</v>
      </c>
      <c r="N165" s="121">
        <f>+SUM(N166:N168)</f>
        <v>0</v>
      </c>
      <c r="O165" s="149">
        <f>+SUM(O166:O168)</f>
        <v>0</v>
      </c>
      <c r="Q165" s="81">
        <f>+SUM(N165:O165)-M165</f>
        <v>0</v>
      </c>
      <c r="R165" s="81">
        <f>SUMPRODUCT(K166:K168,L166:L168)-SUM(M166:M168)</f>
        <v>0</v>
      </c>
      <c r="T165" s="25">
        <f>G165*N165</f>
        <v>0</v>
      </c>
      <c r="V165" s="122" t="e">
        <f>(((1+$V$10)^G165)*$V$10)/(((1+$V$10)^G165)-1)</f>
        <v>#DIV/0!</v>
      </c>
      <c r="W165" s="123">
        <f>IFERROR(N165*V165,0)</f>
        <v>0</v>
      </c>
    </row>
    <row r="166" spans="2:23" s="124" customFormat="1" ht="12" hidden="1" customHeight="1" x14ac:dyDescent="0.2">
      <c r="B166" s="125"/>
      <c r="C166" s="126"/>
      <c r="D166" s="127"/>
      <c r="E166" s="885"/>
      <c r="F166" s="886"/>
      <c r="G166" s="159"/>
      <c r="H166" s="130"/>
      <c r="I166" s="131"/>
      <c r="J166" s="132"/>
      <c r="K166" s="133"/>
      <c r="L166" s="134"/>
      <c r="M166" s="499">
        <f>+L166*K166</f>
        <v>0</v>
      </c>
      <c r="N166" s="136"/>
      <c r="O166" s="135"/>
      <c r="Q166" s="137"/>
      <c r="T166" s="138"/>
    </row>
    <row r="167" spans="2:23" s="124" customFormat="1" ht="12.75" x14ac:dyDescent="0.2">
      <c r="B167" s="125"/>
      <c r="C167" s="126"/>
      <c r="D167" s="127"/>
      <c r="E167" s="885"/>
      <c r="F167" s="886"/>
      <c r="G167" s="114"/>
      <c r="H167" s="130"/>
      <c r="I167" s="131"/>
      <c r="J167" s="132"/>
      <c r="K167" s="133"/>
      <c r="L167" s="134"/>
      <c r="M167" s="498">
        <f>+L167*K167</f>
        <v>0</v>
      </c>
      <c r="N167" s="136"/>
      <c r="O167" s="135"/>
      <c r="Q167" s="137"/>
      <c r="T167" s="138"/>
    </row>
    <row r="168" spans="2:23" s="124" customFormat="1" ht="12.75" x14ac:dyDescent="0.2">
      <c r="B168" s="125"/>
      <c r="C168" s="126"/>
      <c r="D168" s="127"/>
      <c r="E168" s="885"/>
      <c r="F168" s="886"/>
      <c r="G168" s="114"/>
      <c r="H168" s="130"/>
      <c r="I168" s="131"/>
      <c r="J168" s="132"/>
      <c r="K168" s="133"/>
      <c r="L168" s="134"/>
      <c r="M168" s="498">
        <f>+L168*K168</f>
        <v>0</v>
      </c>
      <c r="N168" s="136"/>
      <c r="O168" s="135"/>
      <c r="Q168" s="137"/>
      <c r="T168" s="138"/>
    </row>
    <row r="169" spans="2:23" ht="4.9000000000000004" customHeight="1" x14ac:dyDescent="0.2">
      <c r="B169" s="109"/>
      <c r="C169" s="110"/>
      <c r="D169" s="160"/>
      <c r="E169" s="183"/>
      <c r="F169" s="184"/>
      <c r="G169" s="185"/>
      <c r="H169" s="161"/>
      <c r="I169" s="162"/>
      <c r="J169" s="163"/>
      <c r="K169" s="164"/>
      <c r="L169" s="165"/>
      <c r="M169" s="149"/>
      <c r="N169" s="121"/>
      <c r="O169" s="149"/>
      <c r="Q169" s="157"/>
    </row>
    <row r="170" spans="2:23" x14ac:dyDescent="0.2">
      <c r="B170" s="109"/>
      <c r="C170" s="110"/>
      <c r="D170" s="141">
        <v>220</v>
      </c>
      <c r="E170" s="885" t="s">
        <v>46</v>
      </c>
      <c r="F170" s="886"/>
      <c r="G170" s="158"/>
      <c r="H170" s="144"/>
      <c r="I170" s="145"/>
      <c r="J170" s="146"/>
      <c r="K170" s="147"/>
      <c r="L170" s="148"/>
      <c r="M170" s="149">
        <f>+SUMPRODUCT(K171:K173,L171:L173)</f>
        <v>0</v>
      </c>
      <c r="N170" s="121">
        <f>+SUM(N171:N173)</f>
        <v>0</v>
      </c>
      <c r="O170" s="149">
        <f>+SUM(O171:O173)</f>
        <v>0</v>
      </c>
      <c r="Q170" s="81">
        <f>+SUM(N170:O170)-M170</f>
        <v>0</v>
      </c>
      <c r="R170" s="81">
        <f>SUMPRODUCT(K171:K173,L171:L173)-SUM(M171:M173)</f>
        <v>0</v>
      </c>
      <c r="T170" s="25">
        <f>G170*N170</f>
        <v>0</v>
      </c>
      <c r="V170" s="122" t="e">
        <f>(((1+$V$10)^G170)*$V$10)/(((1+$V$10)^G170)-1)</f>
        <v>#DIV/0!</v>
      </c>
      <c r="W170" s="123">
        <f>IFERROR(N170*V170,0)</f>
        <v>0</v>
      </c>
    </row>
    <row r="171" spans="2:23" s="124" customFormat="1" ht="12" hidden="1" customHeight="1" x14ac:dyDescent="0.2">
      <c r="B171" s="125"/>
      <c r="C171" s="126"/>
      <c r="D171" s="127"/>
      <c r="E171" s="885"/>
      <c r="F171" s="886"/>
      <c r="G171" s="159"/>
      <c r="H171" s="130"/>
      <c r="I171" s="131"/>
      <c r="J171" s="132"/>
      <c r="K171" s="133"/>
      <c r="L171" s="134"/>
      <c r="M171" s="499">
        <f>+L171*K171</f>
        <v>0</v>
      </c>
      <c r="N171" s="136"/>
      <c r="O171" s="135"/>
      <c r="Q171" s="137"/>
      <c r="T171" s="138"/>
    </row>
    <row r="172" spans="2:23" s="124" customFormat="1" ht="12.75" x14ac:dyDescent="0.2">
      <c r="B172" s="125"/>
      <c r="C172" s="126"/>
      <c r="D172" s="127"/>
      <c r="E172" s="885"/>
      <c r="F172" s="886"/>
      <c r="G172" s="114"/>
      <c r="H172" s="130"/>
      <c r="I172" s="131"/>
      <c r="J172" s="132"/>
      <c r="K172" s="133"/>
      <c r="L172" s="134"/>
      <c r="M172" s="498">
        <f>+L172*K172</f>
        <v>0</v>
      </c>
      <c r="N172" s="136"/>
      <c r="O172" s="135"/>
      <c r="Q172" s="137"/>
      <c r="T172" s="138"/>
    </row>
    <row r="173" spans="2:23" s="124" customFormat="1" ht="12.75" x14ac:dyDescent="0.2">
      <c r="B173" s="125"/>
      <c r="C173" s="126"/>
      <c r="D173" s="166"/>
      <c r="E173" s="885"/>
      <c r="F173" s="886"/>
      <c r="G173" s="114"/>
      <c r="H173" s="167"/>
      <c r="I173" s="168"/>
      <c r="J173" s="169"/>
      <c r="K173" s="170"/>
      <c r="L173" s="171"/>
      <c r="M173" s="498">
        <f>+L173*K173</f>
        <v>0</v>
      </c>
      <c r="N173" s="172"/>
      <c r="O173" s="186"/>
      <c r="Q173" s="137"/>
      <c r="T173" s="138"/>
    </row>
    <row r="174" spans="2:23" s="85" customFormat="1" ht="15" x14ac:dyDescent="0.2">
      <c r="B174" s="98"/>
      <c r="C174" s="99">
        <v>30</v>
      </c>
      <c r="D174" s="99" t="str">
        <f ca="1">OFFSET(Sprachen!A361,0,'START, DÉBUT, INIZIO'!$D$4-1,1,1)</f>
        <v>Zentrale</v>
      </c>
      <c r="E174" s="99"/>
      <c r="F174" s="100"/>
      <c r="G174" s="101"/>
      <c r="H174" s="102"/>
      <c r="I174" s="103"/>
      <c r="J174" s="104"/>
      <c r="K174" s="105"/>
      <c r="L174" s="106"/>
      <c r="M174" s="108">
        <f>+M175+M179+M183+M187+M191+M195+M199+M203+M207+M211+M215+M219+M223+M227+M231+M235+M239+M243+M248+M253+M258</f>
        <v>0</v>
      </c>
      <c r="N174" s="108">
        <f>+N175+N179+N183+N187+N191+N195+N199+N203+N207+N211+N215+N219+N223+N227+N231+N235+N239+N243+N248+N253+N258</f>
        <v>0</v>
      </c>
      <c r="O174" s="108">
        <f>+O175+O179+O183+O187+O191+O195+O199+O203+O207+O211+O215+O219+O223+O227+O231+O235+O239+O243+O248+O253+O258</f>
        <v>0</v>
      </c>
      <c r="Q174" s="81">
        <f>+SUM(N174:O174)-M174</f>
        <v>0</v>
      </c>
      <c r="T174" s="97"/>
    </row>
    <row r="175" spans="2:23" x14ac:dyDescent="0.2">
      <c r="B175" s="109"/>
      <c r="C175" s="110"/>
      <c r="D175" s="111">
        <v>300</v>
      </c>
      <c r="E175" s="173" t="str">
        <f ca="1">OFFSET(Sprachen!A362,0,'START, DÉBUT, INIZIO'!$D$4-1,1,1)</f>
        <v>Krafthaus (oberirdisch)</v>
      </c>
      <c r="F175" s="174"/>
      <c r="G175" s="114">
        <v>40</v>
      </c>
      <c r="H175" s="115"/>
      <c r="I175" s="176"/>
      <c r="J175" s="177"/>
      <c r="K175" s="178"/>
      <c r="L175" s="179"/>
      <c r="M175" s="149">
        <f>+SUMPRODUCT(K176:K178,L176:L178)</f>
        <v>0</v>
      </c>
      <c r="N175" s="121">
        <f>+SUM(N176:N178)</f>
        <v>0</v>
      </c>
      <c r="O175" s="149">
        <f>+SUM(O176:O178)</f>
        <v>0</v>
      </c>
      <c r="Q175" s="81">
        <f>+SUM(N175:O175)-M175</f>
        <v>0</v>
      </c>
      <c r="R175" s="81">
        <f>SUMPRODUCT(K176:K178,L176:L178)-SUM(M176:M178)</f>
        <v>0</v>
      </c>
      <c r="T175" s="25">
        <f>G175*N175</f>
        <v>0</v>
      </c>
      <c r="V175" s="122">
        <f>(((1+$V$10)^G175)*$V$10)/(((1+$V$10)^G175)-1)</f>
        <v>5.2609537499785704E-2</v>
      </c>
      <c r="W175" s="123">
        <f>IFERROR(N175*V175,0)</f>
        <v>0</v>
      </c>
    </row>
    <row r="176" spans="2:23" s="124" customFormat="1" ht="12.75" hidden="1" customHeight="1" x14ac:dyDescent="0.2">
      <c r="B176" s="125"/>
      <c r="C176" s="126"/>
      <c r="D176" s="127"/>
      <c r="E176" s="180"/>
      <c r="F176" s="181"/>
      <c r="G176" s="114"/>
      <c r="H176" s="130"/>
      <c r="I176" s="131"/>
      <c r="J176" s="132"/>
      <c r="K176" s="133"/>
      <c r="L176" s="134"/>
      <c r="M176" s="499">
        <f>+L176*K176</f>
        <v>0</v>
      </c>
      <c r="N176" s="136"/>
      <c r="O176" s="135"/>
      <c r="Q176" s="137"/>
      <c r="R176" s="81"/>
      <c r="T176" s="138"/>
    </row>
    <row r="177" spans="2:23" s="124" customFormat="1" ht="12.75" x14ac:dyDescent="0.2">
      <c r="B177" s="125"/>
      <c r="C177" s="126"/>
      <c r="D177" s="127"/>
      <c r="E177" s="885"/>
      <c r="F177" s="886"/>
      <c r="G177" s="114"/>
      <c r="H177" s="130"/>
      <c r="I177" s="131"/>
      <c r="J177" s="132"/>
      <c r="K177" s="133"/>
      <c r="L177" s="134"/>
      <c r="M177" s="498">
        <f>+L177*K177</f>
        <v>0</v>
      </c>
      <c r="N177" s="136"/>
      <c r="O177" s="135"/>
      <c r="Q177" s="137"/>
      <c r="T177" s="138"/>
    </row>
    <row r="178" spans="2:23" s="124" customFormat="1" ht="12.75" x14ac:dyDescent="0.2">
      <c r="B178" s="125"/>
      <c r="C178" s="126"/>
      <c r="D178" s="127"/>
      <c r="E178" s="885"/>
      <c r="F178" s="886"/>
      <c r="G178" s="114"/>
      <c r="H178" s="130"/>
      <c r="I178" s="131"/>
      <c r="J178" s="132"/>
      <c r="K178" s="133"/>
      <c r="L178" s="134"/>
      <c r="M178" s="498">
        <f>+L178*K178</f>
        <v>0</v>
      </c>
      <c r="N178" s="136"/>
      <c r="O178" s="135"/>
      <c r="Q178" s="137"/>
      <c r="T178" s="138"/>
    </row>
    <row r="179" spans="2:23" x14ac:dyDescent="0.2">
      <c r="B179" s="109"/>
      <c r="C179" s="110"/>
      <c r="D179" s="141">
        <v>301</v>
      </c>
      <c r="E179" s="52" t="str">
        <f ca="1">OFFSET(Sprachen!A363,0,'START, DÉBUT, INIZIO'!$D$4-1,1,1)</f>
        <v>Zentralenkaverne</v>
      </c>
      <c r="F179" s="53"/>
      <c r="G179" s="114">
        <v>80</v>
      </c>
      <c r="H179" s="144"/>
      <c r="I179" s="150"/>
      <c r="J179" s="151"/>
      <c r="K179" s="152"/>
      <c r="L179" s="153"/>
      <c r="M179" s="149">
        <f>+SUMPRODUCT(K180:K182,L180:L182)</f>
        <v>0</v>
      </c>
      <c r="N179" s="121">
        <f>+SUM(N180:N182)</f>
        <v>0</v>
      </c>
      <c r="O179" s="149">
        <f>+SUM(O180:O182)</f>
        <v>0</v>
      </c>
      <c r="Q179" s="81">
        <f>+SUM(N179:O179)-M179</f>
        <v>0</v>
      </c>
      <c r="R179" s="81">
        <f>SUMPRODUCT(K180:K182,L180:L182)-SUM(M180:M182)</f>
        <v>0</v>
      </c>
      <c r="T179" s="25">
        <f>G179*N179</f>
        <v>0</v>
      </c>
      <c r="V179" s="122">
        <f>(((1+$V$10)^G179)*$V$10)/(((1+$V$10)^G179)-1)</f>
        <v>4.4306137652275909E-2</v>
      </c>
      <c r="W179" s="123">
        <f>IFERROR(N179*V179,0)</f>
        <v>0</v>
      </c>
    </row>
    <row r="180" spans="2:23" s="124" customFormat="1" ht="12.75" hidden="1" customHeight="1" x14ac:dyDescent="0.2">
      <c r="B180" s="125"/>
      <c r="C180" s="126"/>
      <c r="D180" s="127"/>
      <c r="E180" s="180"/>
      <c r="F180" s="181"/>
      <c r="G180" s="114"/>
      <c r="H180" s="130"/>
      <c r="I180" s="131"/>
      <c r="J180" s="132"/>
      <c r="K180" s="133"/>
      <c r="L180" s="134"/>
      <c r="M180" s="499">
        <f>+L180*K180</f>
        <v>0</v>
      </c>
      <c r="N180" s="136"/>
      <c r="O180" s="135"/>
      <c r="Q180" s="137"/>
      <c r="T180" s="138"/>
    </row>
    <row r="181" spans="2:23" s="124" customFormat="1" ht="12.75" x14ac:dyDescent="0.2">
      <c r="B181" s="125"/>
      <c r="C181" s="126"/>
      <c r="D181" s="127"/>
      <c r="E181" s="885"/>
      <c r="F181" s="886"/>
      <c r="G181" s="114"/>
      <c r="H181" s="130"/>
      <c r="I181" s="131"/>
      <c r="J181" s="132"/>
      <c r="K181" s="133"/>
      <c r="L181" s="134"/>
      <c r="M181" s="498">
        <f>+L181*K181</f>
        <v>0</v>
      </c>
      <c r="N181" s="136"/>
      <c r="O181" s="135"/>
      <c r="Q181" s="137"/>
      <c r="T181" s="138"/>
    </row>
    <row r="182" spans="2:23" s="124" customFormat="1" ht="12.75" x14ac:dyDescent="0.2">
      <c r="B182" s="125"/>
      <c r="C182" s="126"/>
      <c r="D182" s="127"/>
      <c r="E182" s="885"/>
      <c r="F182" s="886"/>
      <c r="G182" s="114"/>
      <c r="H182" s="130"/>
      <c r="I182" s="131"/>
      <c r="J182" s="132"/>
      <c r="K182" s="133"/>
      <c r="L182" s="134"/>
      <c r="M182" s="498">
        <f>+L182*K182</f>
        <v>0</v>
      </c>
      <c r="N182" s="136"/>
      <c r="O182" s="135"/>
      <c r="Q182" s="137"/>
      <c r="T182" s="138"/>
    </row>
    <row r="183" spans="2:23" x14ac:dyDescent="0.2">
      <c r="B183" s="109"/>
      <c r="C183" s="110"/>
      <c r="D183" s="141">
        <v>302</v>
      </c>
      <c r="E183" s="52" t="str">
        <f ca="1">OFFSET(Sprachen!A364,0,'START, DÉBUT, INIZIO'!$D$4-1,1,1)</f>
        <v>Stollen und Schächte (Erschliessung)</v>
      </c>
      <c r="F183" s="53"/>
      <c r="G183" s="114">
        <v>80</v>
      </c>
      <c r="H183" s="144"/>
      <c r="I183" s="150"/>
      <c r="J183" s="151"/>
      <c r="K183" s="152"/>
      <c r="L183" s="153"/>
      <c r="M183" s="149">
        <f>+SUMPRODUCT(K184:K186,L184:L186)</f>
        <v>0</v>
      </c>
      <c r="N183" s="121">
        <f>+SUM(N184:N186)</f>
        <v>0</v>
      </c>
      <c r="O183" s="149">
        <f>+SUM(O184:O186)</f>
        <v>0</v>
      </c>
      <c r="Q183" s="81">
        <f>+SUM(N183:O183)-M183</f>
        <v>0</v>
      </c>
      <c r="R183" s="81">
        <f>SUMPRODUCT(K184:K186,L184:L186)-SUM(M184:M186)</f>
        <v>0</v>
      </c>
      <c r="T183" s="25">
        <f>G183*N183</f>
        <v>0</v>
      </c>
      <c r="V183" s="122">
        <f>(((1+$V$10)^G183)*$V$10)/(((1+$V$10)^G183)-1)</f>
        <v>4.4306137652275909E-2</v>
      </c>
      <c r="W183" s="123">
        <f>IFERROR(N183*V183,0)</f>
        <v>0</v>
      </c>
    </row>
    <row r="184" spans="2:23" s="124" customFormat="1" ht="12.75" hidden="1" customHeight="1" x14ac:dyDescent="0.2">
      <c r="B184" s="125"/>
      <c r="C184" s="126"/>
      <c r="D184" s="127"/>
      <c r="E184" s="180"/>
      <c r="F184" s="181"/>
      <c r="G184" s="114"/>
      <c r="H184" s="130"/>
      <c r="I184" s="131"/>
      <c r="J184" s="132"/>
      <c r="K184" s="133"/>
      <c r="L184" s="134"/>
      <c r="M184" s="499">
        <f>+L184*K184</f>
        <v>0</v>
      </c>
      <c r="N184" s="136"/>
      <c r="O184" s="135"/>
      <c r="Q184" s="137"/>
      <c r="T184" s="138"/>
    </row>
    <row r="185" spans="2:23" s="124" customFormat="1" ht="12.75" x14ac:dyDescent="0.2">
      <c r="B185" s="125"/>
      <c r="C185" s="126"/>
      <c r="D185" s="127"/>
      <c r="E185" s="885"/>
      <c r="F185" s="886"/>
      <c r="G185" s="114"/>
      <c r="H185" s="130"/>
      <c r="I185" s="131"/>
      <c r="J185" s="132"/>
      <c r="K185" s="133"/>
      <c r="L185" s="134"/>
      <c r="M185" s="498">
        <f>+L185*K185</f>
        <v>0</v>
      </c>
      <c r="N185" s="136"/>
      <c r="O185" s="135"/>
      <c r="Q185" s="137"/>
      <c r="T185" s="138"/>
    </row>
    <row r="186" spans="2:23" s="124" customFormat="1" ht="12.75" x14ac:dyDescent="0.2">
      <c r="B186" s="125"/>
      <c r="C186" s="126"/>
      <c r="D186" s="127"/>
      <c r="E186" s="885"/>
      <c r="F186" s="886"/>
      <c r="G186" s="114"/>
      <c r="H186" s="130"/>
      <c r="I186" s="131"/>
      <c r="J186" s="132"/>
      <c r="K186" s="133"/>
      <c r="L186" s="134"/>
      <c r="M186" s="498">
        <f>+L186*K186</f>
        <v>0</v>
      </c>
      <c r="N186" s="136"/>
      <c r="O186" s="135"/>
      <c r="Q186" s="137"/>
      <c r="T186" s="138"/>
    </row>
    <row r="187" spans="2:23" x14ac:dyDescent="0.2">
      <c r="B187" s="109"/>
      <c r="C187" s="110"/>
      <c r="D187" s="141">
        <v>303</v>
      </c>
      <c r="E187" s="52" t="str">
        <f ca="1">OFFSET(Sprachen!A365,0,'START, DÉBUT, INIZIO'!$D$4-1,1,1)</f>
        <v>Kavernen (ohne Zentralenkaverne)</v>
      </c>
      <c r="F187" s="53"/>
      <c r="G187" s="114">
        <v>80</v>
      </c>
      <c r="H187" s="144"/>
      <c r="I187" s="150"/>
      <c r="J187" s="151"/>
      <c r="K187" s="152"/>
      <c r="L187" s="153"/>
      <c r="M187" s="149">
        <f>+SUMPRODUCT(K188:K190,L188:L190)</f>
        <v>0</v>
      </c>
      <c r="N187" s="121">
        <f>+SUM(N188:N190)</f>
        <v>0</v>
      </c>
      <c r="O187" s="149">
        <f>+SUM(O188:O190)</f>
        <v>0</v>
      </c>
      <c r="Q187" s="81">
        <f>+SUM(N187:O187)-M187</f>
        <v>0</v>
      </c>
      <c r="R187" s="81">
        <f>SUMPRODUCT(K188:K190,L188:L190)-SUM(M188:M190)</f>
        <v>0</v>
      </c>
      <c r="T187" s="25">
        <f>G187*N187</f>
        <v>0</v>
      </c>
      <c r="V187" s="122">
        <f>(((1+$V$10)^G187)*$V$10)/(((1+$V$10)^G187)-1)</f>
        <v>4.4306137652275909E-2</v>
      </c>
      <c r="W187" s="123">
        <f>IFERROR(N187*V187,0)</f>
        <v>0</v>
      </c>
    </row>
    <row r="188" spans="2:23" s="124" customFormat="1" ht="12.75" hidden="1" customHeight="1" x14ac:dyDescent="0.2">
      <c r="B188" s="125"/>
      <c r="C188" s="126"/>
      <c r="D188" s="127"/>
      <c r="E188" s="180"/>
      <c r="F188" s="181"/>
      <c r="G188" s="114"/>
      <c r="H188" s="130"/>
      <c r="I188" s="131"/>
      <c r="J188" s="132"/>
      <c r="K188" s="133"/>
      <c r="L188" s="134"/>
      <c r="M188" s="499">
        <f>+L188*K188</f>
        <v>0</v>
      </c>
      <c r="N188" s="136"/>
      <c r="O188" s="135"/>
      <c r="Q188" s="137"/>
      <c r="T188" s="138"/>
    </row>
    <row r="189" spans="2:23" s="124" customFormat="1" ht="12.75" x14ac:dyDescent="0.2">
      <c r="B189" s="125"/>
      <c r="C189" s="126"/>
      <c r="D189" s="127"/>
      <c r="E189" s="885"/>
      <c r="F189" s="886"/>
      <c r="G189" s="114"/>
      <c r="H189" s="130"/>
      <c r="I189" s="131"/>
      <c r="J189" s="132"/>
      <c r="K189" s="133"/>
      <c r="L189" s="134"/>
      <c r="M189" s="498">
        <f>+L189*K189</f>
        <v>0</v>
      </c>
      <c r="N189" s="136"/>
      <c r="O189" s="135"/>
      <c r="Q189" s="137"/>
      <c r="T189" s="138"/>
    </row>
    <row r="190" spans="2:23" s="124" customFormat="1" ht="12.75" x14ac:dyDescent="0.2">
      <c r="B190" s="125"/>
      <c r="C190" s="126"/>
      <c r="D190" s="127"/>
      <c r="E190" s="885"/>
      <c r="F190" s="886"/>
      <c r="G190" s="114"/>
      <c r="H190" s="130"/>
      <c r="I190" s="131"/>
      <c r="J190" s="132"/>
      <c r="K190" s="133"/>
      <c r="L190" s="134"/>
      <c r="M190" s="498">
        <f>+L190*K190</f>
        <v>0</v>
      </c>
      <c r="N190" s="136"/>
      <c r="O190" s="135"/>
      <c r="Q190" s="137"/>
      <c r="T190" s="138"/>
    </row>
    <row r="191" spans="2:23" x14ac:dyDescent="0.2">
      <c r="B191" s="109"/>
      <c r="C191" s="110"/>
      <c r="D191" s="141">
        <v>304</v>
      </c>
      <c r="E191" s="52" t="str">
        <f ca="1">OFFSET(Sprachen!A366,0,'START, DÉBUT, INIZIO'!$D$4-1,1,1)</f>
        <v>Absperrorg. (Schützen, Schieber, Drosselkl., Kugelschieber)</v>
      </c>
      <c r="F191" s="53"/>
      <c r="G191" s="114">
        <v>40</v>
      </c>
      <c r="H191" s="144"/>
      <c r="I191" s="150"/>
      <c r="J191" s="151"/>
      <c r="K191" s="152"/>
      <c r="L191" s="153"/>
      <c r="M191" s="149">
        <f>+SUMPRODUCT(K192:K194,L192:L194)</f>
        <v>0</v>
      </c>
      <c r="N191" s="121">
        <f>+SUM(N192:N194)</f>
        <v>0</v>
      </c>
      <c r="O191" s="149">
        <f>+SUM(O192:O194)</f>
        <v>0</v>
      </c>
      <c r="Q191" s="81">
        <f>+SUM(N191:O191)-M191</f>
        <v>0</v>
      </c>
      <c r="R191" s="81">
        <f>SUMPRODUCT(K192:K194,L192:L194)-SUM(M192:M194)</f>
        <v>0</v>
      </c>
      <c r="T191" s="25">
        <f>G191*N191</f>
        <v>0</v>
      </c>
      <c r="V191" s="122">
        <f>(((1+$V$10)^G191)*$V$10)/(((1+$V$10)^G191)-1)</f>
        <v>5.2609537499785704E-2</v>
      </c>
      <c r="W191" s="123">
        <f>IFERROR(N191*V191,0)</f>
        <v>0</v>
      </c>
    </row>
    <row r="192" spans="2:23" s="124" customFormat="1" ht="12.75" hidden="1" customHeight="1" x14ac:dyDescent="0.2">
      <c r="B192" s="125"/>
      <c r="C192" s="126"/>
      <c r="D192" s="127"/>
      <c r="E192" s="180"/>
      <c r="F192" s="181"/>
      <c r="G192" s="114"/>
      <c r="H192" s="130"/>
      <c r="I192" s="131"/>
      <c r="J192" s="132"/>
      <c r="K192" s="133"/>
      <c r="L192" s="134"/>
      <c r="M192" s="499">
        <f>+L192*K192</f>
        <v>0</v>
      </c>
      <c r="N192" s="136"/>
      <c r="O192" s="135"/>
      <c r="Q192" s="137"/>
      <c r="T192" s="138"/>
    </row>
    <row r="193" spans="2:23" s="124" customFormat="1" ht="12.75" x14ac:dyDescent="0.2">
      <c r="B193" s="125"/>
      <c r="C193" s="126"/>
      <c r="D193" s="127"/>
      <c r="E193" s="885"/>
      <c r="F193" s="886"/>
      <c r="G193" s="114"/>
      <c r="H193" s="130"/>
      <c r="I193" s="131"/>
      <c r="J193" s="132"/>
      <c r="K193" s="133"/>
      <c r="L193" s="134"/>
      <c r="M193" s="498">
        <f>+L193*K193</f>
        <v>0</v>
      </c>
      <c r="N193" s="136"/>
      <c r="O193" s="135"/>
      <c r="Q193" s="137"/>
      <c r="T193" s="138"/>
    </row>
    <row r="194" spans="2:23" s="124" customFormat="1" ht="12.75" x14ac:dyDescent="0.2">
      <c r="B194" s="125"/>
      <c r="C194" s="126"/>
      <c r="D194" s="127"/>
      <c r="E194" s="885"/>
      <c r="F194" s="886"/>
      <c r="G194" s="114"/>
      <c r="H194" s="130"/>
      <c r="I194" s="131"/>
      <c r="J194" s="132"/>
      <c r="K194" s="133"/>
      <c r="L194" s="134"/>
      <c r="M194" s="498">
        <f>+L194*K194</f>
        <v>0</v>
      </c>
      <c r="N194" s="136"/>
      <c r="O194" s="135"/>
      <c r="Q194" s="137"/>
      <c r="T194" s="138"/>
    </row>
    <row r="195" spans="2:23" x14ac:dyDescent="0.2">
      <c r="B195" s="109"/>
      <c r="C195" s="110"/>
      <c r="D195" s="141">
        <v>305</v>
      </c>
      <c r="E195" s="52" t="str">
        <f ca="1">OFFSET(Sprachen!A367,0,'START, DÉBUT, INIZIO'!$D$4-1,1,1)</f>
        <v>Turbinen</v>
      </c>
      <c r="F195" s="53"/>
      <c r="G195" s="114">
        <v>40</v>
      </c>
      <c r="H195" s="144"/>
      <c r="I195" s="150"/>
      <c r="J195" s="151"/>
      <c r="K195" s="152"/>
      <c r="L195" s="153"/>
      <c r="M195" s="149">
        <f>+SUMPRODUCT(K196:K198,L196:L198)</f>
        <v>0</v>
      </c>
      <c r="N195" s="121">
        <f>+SUM(N196:N198)</f>
        <v>0</v>
      </c>
      <c r="O195" s="149">
        <f>+SUM(O196:O198)</f>
        <v>0</v>
      </c>
      <c r="Q195" s="81">
        <f>+SUM(N195:O195)-M195</f>
        <v>0</v>
      </c>
      <c r="R195" s="81">
        <f>SUMPRODUCT(K196:K198,L196:L198)-SUM(M196:M198)</f>
        <v>0</v>
      </c>
      <c r="T195" s="25">
        <f>G195*N195</f>
        <v>0</v>
      </c>
      <c r="V195" s="122">
        <f>(((1+$V$10)^G195)*$V$10)/(((1+$V$10)^G195)-1)</f>
        <v>5.2609537499785704E-2</v>
      </c>
      <c r="W195" s="123">
        <f>IFERROR(N195*V195,0)</f>
        <v>0</v>
      </c>
    </row>
    <row r="196" spans="2:23" s="124" customFormat="1" ht="12.75" hidden="1" customHeight="1" x14ac:dyDescent="0.2">
      <c r="B196" s="125"/>
      <c r="C196" s="126"/>
      <c r="D196" s="127"/>
      <c r="E196" s="180"/>
      <c r="F196" s="181"/>
      <c r="G196" s="114"/>
      <c r="H196" s="130"/>
      <c r="I196" s="131"/>
      <c r="J196" s="132"/>
      <c r="K196" s="133"/>
      <c r="L196" s="134"/>
      <c r="M196" s="499">
        <f>+L196*K196</f>
        <v>0</v>
      </c>
      <c r="N196" s="136"/>
      <c r="O196" s="135"/>
      <c r="Q196" s="137"/>
      <c r="T196" s="138"/>
    </row>
    <row r="197" spans="2:23" s="124" customFormat="1" ht="12.75" x14ac:dyDescent="0.2">
      <c r="B197" s="125"/>
      <c r="C197" s="126"/>
      <c r="D197" s="127"/>
      <c r="E197" s="885"/>
      <c r="F197" s="886"/>
      <c r="G197" s="114"/>
      <c r="H197" s="130"/>
      <c r="I197" s="131"/>
      <c r="J197" s="132"/>
      <c r="K197" s="133"/>
      <c r="L197" s="134"/>
      <c r="M197" s="498">
        <f>+L197*K197</f>
        <v>0</v>
      </c>
      <c r="N197" s="136"/>
      <c r="O197" s="135"/>
      <c r="Q197" s="137"/>
      <c r="T197" s="138"/>
    </row>
    <row r="198" spans="2:23" s="124" customFormat="1" ht="12.75" x14ac:dyDescent="0.2">
      <c r="B198" s="125"/>
      <c r="C198" s="126"/>
      <c r="D198" s="127"/>
      <c r="E198" s="885"/>
      <c r="F198" s="886"/>
      <c r="G198" s="114"/>
      <c r="H198" s="130"/>
      <c r="I198" s="131"/>
      <c r="J198" s="132"/>
      <c r="K198" s="133"/>
      <c r="L198" s="134"/>
      <c r="M198" s="498">
        <f>+L198*K198</f>
        <v>0</v>
      </c>
      <c r="N198" s="136"/>
      <c r="O198" s="135"/>
      <c r="Q198" s="137"/>
      <c r="T198" s="138"/>
    </row>
    <row r="199" spans="2:23" x14ac:dyDescent="0.2">
      <c r="B199" s="109"/>
      <c r="C199" s="110"/>
      <c r="D199" s="141">
        <v>306</v>
      </c>
      <c r="E199" s="52" t="str">
        <f ca="1">OFFSET(Sprachen!A368,0,'START, DÉBUT, INIZIO'!$D$4-1,1,1)</f>
        <v>Pumpen</v>
      </c>
      <c r="F199" s="53"/>
      <c r="G199" s="114">
        <v>40</v>
      </c>
      <c r="H199" s="144"/>
      <c r="I199" s="150"/>
      <c r="J199" s="151"/>
      <c r="K199" s="152"/>
      <c r="L199" s="153"/>
      <c r="M199" s="149">
        <f>+SUMPRODUCT(K200:K202,L200:L202)</f>
        <v>0</v>
      </c>
      <c r="N199" s="121">
        <f>+SUM(N200:N202)</f>
        <v>0</v>
      </c>
      <c r="O199" s="149">
        <f>+SUM(O200:O202)</f>
        <v>0</v>
      </c>
      <c r="Q199" s="81">
        <f>+SUM(N199:O199)-M199</f>
        <v>0</v>
      </c>
      <c r="R199" s="81">
        <f>SUMPRODUCT(K200:K202,L200:L202)-SUM(M200:M202)</f>
        <v>0</v>
      </c>
      <c r="T199" s="25">
        <f>G199*N199</f>
        <v>0</v>
      </c>
      <c r="V199" s="122">
        <f>(((1+$V$10)^G199)*$V$10)/(((1+$V$10)^G199)-1)</f>
        <v>5.2609537499785704E-2</v>
      </c>
      <c r="W199" s="123">
        <f>IFERROR(N199*V199,0)</f>
        <v>0</v>
      </c>
    </row>
    <row r="200" spans="2:23" s="124" customFormat="1" ht="12.75" hidden="1" customHeight="1" x14ac:dyDescent="0.2">
      <c r="B200" s="125"/>
      <c r="C200" s="126"/>
      <c r="D200" s="127"/>
      <c r="E200" s="180"/>
      <c r="F200" s="181"/>
      <c r="G200" s="114"/>
      <c r="H200" s="130"/>
      <c r="I200" s="131"/>
      <c r="J200" s="132"/>
      <c r="K200" s="133"/>
      <c r="L200" s="134"/>
      <c r="M200" s="499">
        <f>+L200*K200</f>
        <v>0</v>
      </c>
      <c r="N200" s="136"/>
      <c r="O200" s="135"/>
      <c r="Q200" s="137"/>
      <c r="T200" s="138"/>
    </row>
    <row r="201" spans="2:23" s="124" customFormat="1" ht="12.75" x14ac:dyDescent="0.2">
      <c r="B201" s="125"/>
      <c r="C201" s="126"/>
      <c r="D201" s="127"/>
      <c r="E201" s="885"/>
      <c r="F201" s="886"/>
      <c r="G201" s="114"/>
      <c r="H201" s="130"/>
      <c r="I201" s="131"/>
      <c r="J201" s="132"/>
      <c r="K201" s="133"/>
      <c r="L201" s="134"/>
      <c r="M201" s="498">
        <f>+L201*K201</f>
        <v>0</v>
      </c>
      <c r="N201" s="136">
        <f>M201</f>
        <v>0</v>
      </c>
      <c r="O201" s="135"/>
      <c r="Q201" s="137"/>
      <c r="T201" s="138"/>
    </row>
    <row r="202" spans="2:23" s="124" customFormat="1" ht="12.75" x14ac:dyDescent="0.2">
      <c r="B202" s="125"/>
      <c r="C202" s="126"/>
      <c r="D202" s="127"/>
      <c r="E202" s="885"/>
      <c r="F202" s="886"/>
      <c r="G202" s="114"/>
      <c r="H202" s="130"/>
      <c r="I202" s="131"/>
      <c r="J202" s="132"/>
      <c r="K202" s="133"/>
      <c r="L202" s="134"/>
      <c r="M202" s="498">
        <f>+L202*K202</f>
        <v>0</v>
      </c>
      <c r="N202" s="136"/>
      <c r="O202" s="135"/>
      <c r="Q202" s="137"/>
      <c r="T202" s="138"/>
    </row>
    <row r="203" spans="2:23" x14ac:dyDescent="0.2">
      <c r="B203" s="109"/>
      <c r="C203" s="110"/>
      <c r="D203" s="141">
        <v>307</v>
      </c>
      <c r="E203" s="52" t="str">
        <f ca="1">OFFSET(Sprachen!A369,0,'START, DÉBUT, INIZIO'!$D$4-1,1,1)</f>
        <v>Hebezeuge und Hilfseinrichtungen</v>
      </c>
      <c r="F203" s="53"/>
      <c r="G203" s="114">
        <v>30</v>
      </c>
      <c r="H203" s="144"/>
      <c r="I203" s="150"/>
      <c r="J203" s="151"/>
      <c r="K203" s="152"/>
      <c r="L203" s="153"/>
      <c r="M203" s="149">
        <f>+SUMPRODUCT(K204:K206,L204:L206)</f>
        <v>0</v>
      </c>
      <c r="N203" s="121">
        <f>+SUM(N204:N206)</f>
        <v>0</v>
      </c>
      <c r="O203" s="149">
        <f>+SUM(O204:O206)</f>
        <v>0</v>
      </c>
      <c r="Q203" s="81">
        <f>+SUM(N203:O203)-M203</f>
        <v>0</v>
      </c>
      <c r="R203" s="81">
        <f>SUMPRODUCT(K204:K206,L204:L206)-SUM(M204:M206)</f>
        <v>0</v>
      </c>
      <c r="T203" s="25">
        <f>G203*N203</f>
        <v>0</v>
      </c>
      <c r="V203" s="122">
        <f>(((1+$V$10)^G203)*$V$10)/(((1+$V$10)^G203)-1)</f>
        <v>5.9776453108272141E-2</v>
      </c>
      <c r="W203" s="123">
        <f>IFERROR(N203*V203,0)</f>
        <v>0</v>
      </c>
    </row>
    <row r="204" spans="2:23" s="124" customFormat="1" ht="12.75" hidden="1" customHeight="1" x14ac:dyDescent="0.2">
      <c r="B204" s="125"/>
      <c r="C204" s="126"/>
      <c r="D204" s="127"/>
      <c r="E204" s="180"/>
      <c r="F204" s="181"/>
      <c r="G204" s="114"/>
      <c r="H204" s="130"/>
      <c r="I204" s="131"/>
      <c r="J204" s="132"/>
      <c r="K204" s="133"/>
      <c r="L204" s="134"/>
      <c r="M204" s="499">
        <f>+L204*K204</f>
        <v>0</v>
      </c>
      <c r="N204" s="136"/>
      <c r="O204" s="135"/>
      <c r="Q204" s="137"/>
      <c r="T204" s="138"/>
    </row>
    <row r="205" spans="2:23" s="124" customFormat="1" ht="12.75" x14ac:dyDescent="0.2">
      <c r="B205" s="125"/>
      <c r="C205" s="126"/>
      <c r="D205" s="127"/>
      <c r="E205" s="885"/>
      <c r="F205" s="886"/>
      <c r="G205" s="114"/>
      <c r="H205" s="130"/>
      <c r="I205" s="131"/>
      <c r="J205" s="132"/>
      <c r="K205" s="133"/>
      <c r="L205" s="134"/>
      <c r="M205" s="498">
        <f>+L205*K205</f>
        <v>0</v>
      </c>
      <c r="N205" s="136">
        <f>M205</f>
        <v>0</v>
      </c>
      <c r="O205" s="135"/>
      <c r="Q205" s="137"/>
      <c r="T205" s="138"/>
    </row>
    <row r="206" spans="2:23" s="124" customFormat="1" ht="12.75" x14ac:dyDescent="0.2">
      <c r="B206" s="125"/>
      <c r="C206" s="126"/>
      <c r="D206" s="127"/>
      <c r="E206" s="885"/>
      <c r="F206" s="886"/>
      <c r="G206" s="114"/>
      <c r="H206" s="130"/>
      <c r="I206" s="131"/>
      <c r="J206" s="132"/>
      <c r="K206" s="133"/>
      <c r="L206" s="134"/>
      <c r="M206" s="498">
        <f>+L206*K206</f>
        <v>0</v>
      </c>
      <c r="N206" s="136"/>
      <c r="O206" s="135"/>
      <c r="Q206" s="137"/>
      <c r="T206" s="138"/>
    </row>
    <row r="207" spans="2:23" x14ac:dyDescent="0.2">
      <c r="B207" s="109"/>
      <c r="C207" s="110"/>
      <c r="D207" s="141">
        <v>308</v>
      </c>
      <c r="E207" s="52" t="str">
        <f ca="1">OFFSET(Sprachen!A370,0,'START, DÉBUT, INIZIO'!$D$4-1,1,1)</f>
        <v>Generatoren/Motoren</v>
      </c>
      <c r="F207" s="53"/>
      <c r="G207" s="114">
        <v>40</v>
      </c>
      <c r="H207" s="144"/>
      <c r="I207" s="150"/>
      <c r="J207" s="151"/>
      <c r="K207" s="152"/>
      <c r="L207" s="153"/>
      <c r="M207" s="149">
        <f>+SUMPRODUCT(K208:K210,L208:L210)</f>
        <v>0</v>
      </c>
      <c r="N207" s="121">
        <f>+SUM(N208:N210)</f>
        <v>0</v>
      </c>
      <c r="O207" s="149">
        <f>+SUM(O208:O210)</f>
        <v>0</v>
      </c>
      <c r="Q207" s="81">
        <f>+SUM(N207:O207)-M207</f>
        <v>0</v>
      </c>
      <c r="R207" s="81">
        <f>SUMPRODUCT(K208:K210,L208:L210)-SUM(M208:M210)</f>
        <v>0</v>
      </c>
      <c r="T207" s="25">
        <f>G207*N207</f>
        <v>0</v>
      </c>
      <c r="V207" s="122">
        <f>(((1+$V$10)^G207)*$V$10)/(((1+$V$10)^G207)-1)</f>
        <v>5.2609537499785704E-2</v>
      </c>
      <c r="W207" s="123">
        <f>IFERROR(N207*V207,0)</f>
        <v>0</v>
      </c>
    </row>
    <row r="208" spans="2:23" s="124" customFormat="1" ht="12.75" hidden="1" customHeight="1" x14ac:dyDescent="0.2">
      <c r="B208" s="125"/>
      <c r="C208" s="126"/>
      <c r="D208" s="127"/>
      <c r="E208" s="180"/>
      <c r="F208" s="181"/>
      <c r="G208" s="114"/>
      <c r="H208" s="130"/>
      <c r="I208" s="131"/>
      <c r="J208" s="132"/>
      <c r="K208" s="133"/>
      <c r="L208" s="134"/>
      <c r="M208" s="499">
        <f>+L208*K208</f>
        <v>0</v>
      </c>
      <c r="N208" s="136"/>
      <c r="O208" s="135"/>
      <c r="Q208" s="137"/>
      <c r="T208" s="138"/>
    </row>
    <row r="209" spans="2:23" s="124" customFormat="1" ht="12.75" x14ac:dyDescent="0.2">
      <c r="B209" s="125"/>
      <c r="C209" s="126"/>
      <c r="D209" s="127"/>
      <c r="E209" s="885"/>
      <c r="F209" s="886"/>
      <c r="G209" s="114"/>
      <c r="H209" s="130"/>
      <c r="I209" s="131"/>
      <c r="J209" s="132"/>
      <c r="K209" s="133"/>
      <c r="L209" s="134"/>
      <c r="M209" s="498">
        <f>+L209*K209</f>
        <v>0</v>
      </c>
      <c r="N209" s="136"/>
      <c r="O209" s="135"/>
      <c r="Q209" s="137"/>
      <c r="T209" s="138"/>
    </row>
    <row r="210" spans="2:23" s="124" customFormat="1" ht="12.75" x14ac:dyDescent="0.2">
      <c r="B210" s="125"/>
      <c r="C210" s="126"/>
      <c r="D210" s="127"/>
      <c r="E210" s="885"/>
      <c r="F210" s="886"/>
      <c r="G210" s="114"/>
      <c r="H210" s="130"/>
      <c r="I210" s="131"/>
      <c r="J210" s="132"/>
      <c r="K210" s="133"/>
      <c r="L210" s="134"/>
      <c r="M210" s="498">
        <f>+L210*K210</f>
        <v>0</v>
      </c>
      <c r="N210" s="136"/>
      <c r="O210" s="135"/>
      <c r="Q210" s="137"/>
      <c r="T210" s="138"/>
    </row>
    <row r="211" spans="2:23" x14ac:dyDescent="0.2">
      <c r="B211" s="187"/>
      <c r="C211" s="188"/>
      <c r="D211" s="141">
        <v>309</v>
      </c>
      <c r="E211" s="52" t="str">
        <f ca="1">OFFSET(Sprachen!A371,0,'START, DÉBUT, INIZIO'!$D$4-1,1,1)</f>
        <v>Schaltanlagen Spannungsebene Generatoren/Motoren</v>
      </c>
      <c r="F211" s="53"/>
      <c r="G211" s="114">
        <v>30</v>
      </c>
      <c r="H211" s="144"/>
      <c r="I211" s="150"/>
      <c r="J211" s="151"/>
      <c r="K211" s="152"/>
      <c r="L211" s="153"/>
      <c r="M211" s="149">
        <f>+SUMPRODUCT(K212:K214,L212:L214)</f>
        <v>0</v>
      </c>
      <c r="N211" s="121">
        <f>+SUM(N212:N214)</f>
        <v>0</v>
      </c>
      <c r="O211" s="149">
        <f>+SUM(O212:O214)</f>
        <v>0</v>
      </c>
      <c r="Q211" s="81">
        <f>+SUM(N211:O211)-M211</f>
        <v>0</v>
      </c>
      <c r="R211" s="81">
        <f>SUMPRODUCT(K212:K214,L212:L214)-SUM(M212:M214)</f>
        <v>0</v>
      </c>
      <c r="T211" s="25">
        <f>G211*N211</f>
        <v>0</v>
      </c>
      <c r="V211" s="122">
        <f>(((1+$V$10)^G211)*$V$10)/(((1+$V$10)^G211)-1)</f>
        <v>5.9776453108272141E-2</v>
      </c>
      <c r="W211" s="123">
        <f>IFERROR(N211*V211,0)</f>
        <v>0</v>
      </c>
    </row>
    <row r="212" spans="2:23" s="124" customFormat="1" ht="12.75" hidden="1" customHeight="1" x14ac:dyDescent="0.2">
      <c r="B212" s="125"/>
      <c r="C212" s="126"/>
      <c r="D212" s="127"/>
      <c r="E212" s="180"/>
      <c r="F212" s="181"/>
      <c r="G212" s="114"/>
      <c r="H212" s="130"/>
      <c r="I212" s="131"/>
      <c r="J212" s="132"/>
      <c r="K212" s="133"/>
      <c r="L212" s="134"/>
      <c r="M212" s="499">
        <f>+L212*K212</f>
        <v>0</v>
      </c>
      <c r="N212" s="136"/>
      <c r="O212" s="135"/>
      <c r="Q212" s="137"/>
      <c r="T212" s="138"/>
    </row>
    <row r="213" spans="2:23" s="124" customFormat="1" ht="12.75" x14ac:dyDescent="0.2">
      <c r="B213" s="125"/>
      <c r="C213" s="126"/>
      <c r="D213" s="127"/>
      <c r="E213" s="885"/>
      <c r="F213" s="886"/>
      <c r="G213" s="114"/>
      <c r="H213" s="130"/>
      <c r="I213" s="131"/>
      <c r="J213" s="132"/>
      <c r="K213" s="133"/>
      <c r="L213" s="134"/>
      <c r="M213" s="498">
        <f>+L213*K213</f>
        <v>0</v>
      </c>
      <c r="N213" s="136"/>
      <c r="O213" s="135"/>
      <c r="Q213" s="137"/>
      <c r="T213" s="138"/>
    </row>
    <row r="214" spans="2:23" s="124" customFormat="1" ht="12.75" x14ac:dyDescent="0.2">
      <c r="B214" s="125"/>
      <c r="C214" s="126"/>
      <c r="D214" s="127"/>
      <c r="E214" s="885"/>
      <c r="F214" s="886"/>
      <c r="G214" s="114"/>
      <c r="H214" s="130"/>
      <c r="I214" s="131"/>
      <c r="J214" s="132"/>
      <c r="K214" s="133"/>
      <c r="L214" s="134"/>
      <c r="M214" s="498">
        <f>+L214*K214</f>
        <v>0</v>
      </c>
      <c r="N214" s="136"/>
      <c r="O214" s="135"/>
      <c r="Q214" s="137"/>
      <c r="T214" s="138"/>
    </row>
    <row r="215" spans="2:23" x14ac:dyDescent="0.2">
      <c r="B215" s="109"/>
      <c r="C215" s="110"/>
      <c r="D215" s="141">
        <v>310</v>
      </c>
      <c r="E215" s="52" t="str">
        <f ca="1">OFFSET(Sprachen!A372,0,'START, DÉBUT, INIZIO'!$D$4-1,1,1)</f>
        <v xml:space="preserve">Transformatoren </v>
      </c>
      <c r="F215" s="53"/>
      <c r="G215" s="114">
        <v>40</v>
      </c>
      <c r="H215" s="144"/>
      <c r="I215" s="150"/>
      <c r="J215" s="151"/>
      <c r="K215" s="152"/>
      <c r="L215" s="153"/>
      <c r="M215" s="149">
        <f>+SUMPRODUCT(K216:K218,L216:L218)</f>
        <v>0</v>
      </c>
      <c r="N215" s="121">
        <f>+SUM(N216:N218)</f>
        <v>0</v>
      </c>
      <c r="O215" s="149">
        <f>+SUM(O216:O218)</f>
        <v>0</v>
      </c>
      <c r="Q215" s="81">
        <f>+SUM(N215:O215)-M215</f>
        <v>0</v>
      </c>
      <c r="R215" s="81">
        <f>SUMPRODUCT(K216:K218,L216:L218)-SUM(M216:M218)</f>
        <v>0</v>
      </c>
      <c r="T215" s="25">
        <f>G215*N215</f>
        <v>0</v>
      </c>
      <c r="V215" s="122">
        <f>(((1+$V$10)^G215)*$V$10)/(((1+$V$10)^G215)-1)</f>
        <v>5.2609537499785704E-2</v>
      </c>
      <c r="W215" s="123">
        <f>IFERROR(N215*V215,0)</f>
        <v>0</v>
      </c>
    </row>
    <row r="216" spans="2:23" s="124" customFormat="1" ht="12.75" hidden="1" customHeight="1" x14ac:dyDescent="0.2">
      <c r="B216" s="125"/>
      <c r="C216" s="126"/>
      <c r="D216" s="127"/>
      <c r="E216" s="180"/>
      <c r="F216" s="181"/>
      <c r="G216" s="114"/>
      <c r="H216" s="130"/>
      <c r="I216" s="131"/>
      <c r="J216" s="132"/>
      <c r="K216" s="133"/>
      <c r="L216" s="134"/>
      <c r="M216" s="499">
        <f>+L216*K216</f>
        <v>0</v>
      </c>
      <c r="N216" s="136"/>
      <c r="O216" s="135"/>
      <c r="Q216" s="137"/>
      <c r="T216" s="138"/>
    </row>
    <row r="217" spans="2:23" s="124" customFormat="1" ht="12.75" x14ac:dyDescent="0.2">
      <c r="B217" s="125"/>
      <c r="C217" s="126"/>
      <c r="D217" s="127"/>
      <c r="E217" s="885"/>
      <c r="F217" s="886"/>
      <c r="G217" s="114"/>
      <c r="H217" s="130"/>
      <c r="I217" s="131"/>
      <c r="J217" s="132"/>
      <c r="K217" s="133"/>
      <c r="L217" s="134"/>
      <c r="M217" s="498">
        <f>+L217*K217</f>
        <v>0</v>
      </c>
      <c r="N217" s="136"/>
      <c r="O217" s="135"/>
      <c r="Q217" s="137"/>
      <c r="T217" s="138"/>
    </row>
    <row r="218" spans="2:23" s="124" customFormat="1" ht="12.75" x14ac:dyDescent="0.2">
      <c r="B218" s="125"/>
      <c r="C218" s="126"/>
      <c r="D218" s="127"/>
      <c r="E218" s="885"/>
      <c r="F218" s="886"/>
      <c r="G218" s="114"/>
      <c r="H218" s="130"/>
      <c r="I218" s="131"/>
      <c r="J218" s="132"/>
      <c r="K218" s="133"/>
      <c r="L218" s="134"/>
      <c r="M218" s="498">
        <f>+L218*K218</f>
        <v>0</v>
      </c>
      <c r="N218" s="136"/>
      <c r="O218" s="135"/>
      <c r="Q218" s="137"/>
      <c r="T218" s="138"/>
    </row>
    <row r="219" spans="2:23" x14ac:dyDescent="0.2">
      <c r="B219" s="109"/>
      <c r="C219" s="110"/>
      <c r="D219" s="141">
        <v>311</v>
      </c>
      <c r="E219" s="52" t="str">
        <f ca="1">OFFSET(Sprachen!A373,0,'START, DÉBUT, INIZIO'!$D$4-1,1,1)</f>
        <v>Kraftwerksleittechnik</v>
      </c>
      <c r="F219" s="53"/>
      <c r="G219" s="114">
        <v>15</v>
      </c>
      <c r="H219" s="144"/>
      <c r="I219" s="150"/>
      <c r="J219" s="151"/>
      <c r="K219" s="152"/>
      <c r="L219" s="153"/>
      <c r="M219" s="149">
        <f>+SUMPRODUCT(K220:K222,L220:L222)</f>
        <v>0</v>
      </c>
      <c r="N219" s="121">
        <f>+SUM(N220:N222)</f>
        <v>0</v>
      </c>
      <c r="O219" s="149">
        <f>+SUM(O220:O222)</f>
        <v>0</v>
      </c>
      <c r="Q219" s="81">
        <f>+SUM(N219:O219)-M219</f>
        <v>0</v>
      </c>
      <c r="R219" s="81">
        <f>SUMPRODUCT(K220:K222,L220:L222)-SUM(M220:M222)</f>
        <v>0</v>
      </c>
      <c r="T219" s="25">
        <f>G219*N219</f>
        <v>0</v>
      </c>
      <c r="V219" s="122">
        <f>(((1+$V$10)^G219)*$V$10)/(((1+$V$10)^G219)-1)</f>
        <v>9.1679132867609356E-2</v>
      </c>
      <c r="W219" s="123">
        <f>IFERROR(N219*V219,0)</f>
        <v>0</v>
      </c>
    </row>
    <row r="220" spans="2:23" s="124" customFormat="1" ht="12.75" hidden="1" customHeight="1" x14ac:dyDescent="0.2">
      <c r="B220" s="125"/>
      <c r="C220" s="126"/>
      <c r="D220" s="127"/>
      <c r="E220" s="180"/>
      <c r="F220" s="181"/>
      <c r="G220" s="114"/>
      <c r="H220" s="130"/>
      <c r="I220" s="131"/>
      <c r="J220" s="132"/>
      <c r="K220" s="133"/>
      <c r="L220" s="134"/>
      <c r="M220" s="499">
        <f>+L220*K220</f>
        <v>0</v>
      </c>
      <c r="N220" s="136"/>
      <c r="O220" s="135"/>
      <c r="Q220" s="137"/>
      <c r="T220" s="138"/>
    </row>
    <row r="221" spans="2:23" s="124" customFormat="1" ht="12.75" x14ac:dyDescent="0.2">
      <c r="B221" s="125"/>
      <c r="C221" s="126"/>
      <c r="D221" s="127"/>
      <c r="E221" s="885"/>
      <c r="F221" s="886"/>
      <c r="G221" s="114"/>
      <c r="H221" s="130"/>
      <c r="I221" s="131"/>
      <c r="J221" s="132"/>
      <c r="K221" s="133"/>
      <c r="L221" s="134"/>
      <c r="M221" s="498">
        <f>+L221*K221</f>
        <v>0</v>
      </c>
      <c r="N221" s="136"/>
      <c r="O221" s="135"/>
      <c r="Q221" s="137"/>
      <c r="T221" s="138"/>
    </row>
    <row r="222" spans="2:23" s="124" customFormat="1" ht="12.75" x14ac:dyDescent="0.2">
      <c r="B222" s="125"/>
      <c r="C222" s="126"/>
      <c r="D222" s="127"/>
      <c r="E222" s="885"/>
      <c r="F222" s="886"/>
      <c r="G222" s="114"/>
      <c r="H222" s="130"/>
      <c r="I222" s="131"/>
      <c r="J222" s="132"/>
      <c r="K222" s="133"/>
      <c r="L222" s="134"/>
      <c r="M222" s="498">
        <f>+L222*K222</f>
        <v>0</v>
      </c>
      <c r="N222" s="136"/>
      <c r="O222" s="135"/>
      <c r="Q222" s="137"/>
      <c r="T222" s="138"/>
    </row>
    <row r="223" spans="2:23" x14ac:dyDescent="0.2">
      <c r="B223" s="109"/>
      <c r="C223" s="110"/>
      <c r="D223" s="141">
        <v>312</v>
      </c>
      <c r="E223" s="52" t="str">
        <f ca="1">OFFSET(Sprachen!A374,0,'START, DÉBUT, INIZIO'!$D$4-1,1,1)</f>
        <v>Eigenbedarfs- und Notstromanlagen</v>
      </c>
      <c r="F223" s="53"/>
      <c r="G223" s="114">
        <v>30</v>
      </c>
      <c r="H223" s="144"/>
      <c r="I223" s="150"/>
      <c r="J223" s="151"/>
      <c r="K223" s="152"/>
      <c r="L223" s="153"/>
      <c r="M223" s="149">
        <f>+SUMPRODUCT(K224:K226,L224:L226)</f>
        <v>0</v>
      </c>
      <c r="N223" s="121">
        <f>+SUM(N224:N226)</f>
        <v>0</v>
      </c>
      <c r="O223" s="149">
        <f>+SUM(O224:O226)</f>
        <v>0</v>
      </c>
      <c r="Q223" s="81">
        <f>+SUM(N223:O223)-M223</f>
        <v>0</v>
      </c>
      <c r="R223" s="81">
        <f>SUMPRODUCT(K224:K226,L224:L226)-SUM(M224:M226)</f>
        <v>0</v>
      </c>
      <c r="T223" s="25">
        <f>G223*N223</f>
        <v>0</v>
      </c>
      <c r="V223" s="122">
        <f>(((1+$V$10)^G223)*$V$10)/(((1+$V$10)^G223)-1)</f>
        <v>5.9776453108272141E-2</v>
      </c>
      <c r="W223" s="123">
        <f>IFERROR(N223*V223,0)</f>
        <v>0</v>
      </c>
    </row>
    <row r="224" spans="2:23" s="124" customFormat="1" ht="12.75" hidden="1" customHeight="1" x14ac:dyDescent="0.2">
      <c r="B224" s="125"/>
      <c r="C224" s="126"/>
      <c r="D224" s="127"/>
      <c r="E224" s="180"/>
      <c r="F224" s="181"/>
      <c r="G224" s="114"/>
      <c r="H224" s="130"/>
      <c r="I224" s="131"/>
      <c r="J224" s="132"/>
      <c r="K224" s="133"/>
      <c r="L224" s="134"/>
      <c r="M224" s="499">
        <f>+L224*K224</f>
        <v>0</v>
      </c>
      <c r="N224" s="136"/>
      <c r="O224" s="135"/>
      <c r="Q224" s="137"/>
      <c r="T224" s="138"/>
    </row>
    <row r="225" spans="2:23" s="124" customFormat="1" ht="12.75" x14ac:dyDescent="0.2">
      <c r="B225" s="125"/>
      <c r="C225" s="126"/>
      <c r="D225" s="127"/>
      <c r="E225" s="885"/>
      <c r="F225" s="886"/>
      <c r="G225" s="114"/>
      <c r="H225" s="130"/>
      <c r="I225" s="131"/>
      <c r="J225" s="132"/>
      <c r="K225" s="133"/>
      <c r="L225" s="134"/>
      <c r="M225" s="498">
        <f>+L225*K225</f>
        <v>0</v>
      </c>
      <c r="N225" s="136"/>
      <c r="O225" s="135"/>
      <c r="Q225" s="137"/>
      <c r="T225" s="138"/>
    </row>
    <row r="226" spans="2:23" s="124" customFormat="1" ht="12.75" x14ac:dyDescent="0.2">
      <c r="B226" s="125"/>
      <c r="C226" s="126"/>
      <c r="D226" s="127"/>
      <c r="E226" s="885"/>
      <c r="F226" s="886"/>
      <c r="G226" s="114"/>
      <c r="H226" s="130"/>
      <c r="I226" s="131"/>
      <c r="J226" s="132"/>
      <c r="K226" s="133"/>
      <c r="L226" s="134"/>
      <c r="M226" s="498">
        <f>+L226*K226</f>
        <v>0</v>
      </c>
      <c r="N226" s="136"/>
      <c r="O226" s="135"/>
      <c r="Q226" s="137"/>
      <c r="T226" s="138"/>
    </row>
    <row r="227" spans="2:23" x14ac:dyDescent="0.2">
      <c r="B227" s="109"/>
      <c r="C227" s="110"/>
      <c r="D227" s="141">
        <v>313</v>
      </c>
      <c r="E227" s="52" t="str">
        <f ca="1">OFFSET(Sprachen!A375,0,'START, DÉBUT, INIZIO'!$D$4-1,1,1)</f>
        <v>Hochspannungsausrüstung</v>
      </c>
      <c r="F227" s="53"/>
      <c r="G227" s="114">
        <v>30</v>
      </c>
      <c r="H227" s="144"/>
      <c r="I227" s="150"/>
      <c r="J227" s="151"/>
      <c r="K227" s="152"/>
      <c r="L227" s="153"/>
      <c r="M227" s="149">
        <f>+SUMPRODUCT(K228:K230,L228:L230)</f>
        <v>0</v>
      </c>
      <c r="N227" s="121">
        <f>+SUM(N228:N230)</f>
        <v>0</v>
      </c>
      <c r="O227" s="149">
        <f>+SUM(O228:O230)</f>
        <v>0</v>
      </c>
      <c r="Q227" s="81">
        <f>+SUM(N227:O227)-M227</f>
        <v>0</v>
      </c>
      <c r="R227" s="81">
        <f>SUMPRODUCT(K228:K230,L228:L230)-SUM(M228:M230)</f>
        <v>0</v>
      </c>
      <c r="T227" s="25">
        <f>G227*N227</f>
        <v>0</v>
      </c>
      <c r="V227" s="122">
        <f>(((1+$V$10)^G227)*$V$10)/(((1+$V$10)^G227)-1)</f>
        <v>5.9776453108272141E-2</v>
      </c>
      <c r="W227" s="123">
        <f>IFERROR(N227*V227,0)</f>
        <v>0</v>
      </c>
    </row>
    <row r="228" spans="2:23" s="124" customFormat="1" ht="12.75" hidden="1" customHeight="1" x14ac:dyDescent="0.2">
      <c r="B228" s="125"/>
      <c r="C228" s="126"/>
      <c r="D228" s="127"/>
      <c r="E228" s="180"/>
      <c r="F228" s="181"/>
      <c r="G228" s="114"/>
      <c r="H228" s="130"/>
      <c r="I228" s="131"/>
      <c r="J228" s="132"/>
      <c r="K228" s="133"/>
      <c r="L228" s="134"/>
      <c r="M228" s="499">
        <f>+L228*K228</f>
        <v>0</v>
      </c>
      <c r="N228" s="136"/>
      <c r="O228" s="135"/>
      <c r="Q228" s="137"/>
      <c r="T228" s="138"/>
    </row>
    <row r="229" spans="2:23" s="124" customFormat="1" ht="12.75" x14ac:dyDescent="0.2">
      <c r="B229" s="125"/>
      <c r="C229" s="126"/>
      <c r="D229" s="127"/>
      <c r="E229" s="885"/>
      <c r="F229" s="886"/>
      <c r="G229" s="114"/>
      <c r="H229" s="130"/>
      <c r="I229" s="131"/>
      <c r="J229" s="132"/>
      <c r="K229" s="133"/>
      <c r="L229" s="134"/>
      <c r="M229" s="498">
        <f>+L229*K229</f>
        <v>0</v>
      </c>
      <c r="N229" s="136"/>
      <c r="O229" s="135"/>
      <c r="Q229" s="137"/>
      <c r="T229" s="138"/>
    </row>
    <row r="230" spans="2:23" s="124" customFormat="1" ht="12.75" x14ac:dyDescent="0.2">
      <c r="B230" s="125"/>
      <c r="C230" s="126"/>
      <c r="D230" s="127"/>
      <c r="E230" s="885"/>
      <c r="F230" s="886"/>
      <c r="G230" s="114"/>
      <c r="H230" s="130"/>
      <c r="I230" s="131"/>
      <c r="J230" s="132"/>
      <c r="K230" s="133"/>
      <c r="L230" s="134"/>
      <c r="M230" s="498">
        <f>+L230*K230</f>
        <v>0</v>
      </c>
      <c r="N230" s="136"/>
      <c r="O230" s="135"/>
      <c r="Q230" s="137"/>
      <c r="T230" s="138"/>
    </row>
    <row r="231" spans="2:23" x14ac:dyDescent="0.2">
      <c r="B231" s="109"/>
      <c r="C231" s="110"/>
      <c r="D231" s="141">
        <v>314</v>
      </c>
      <c r="E231" s="52" t="str">
        <f ca="1">OFFSET(Sprachen!A376,0,'START, DÉBUT, INIZIO'!$D$4-1,1,1)</f>
        <v>Schaltanlagen auf Spannungsebene Netzanschluss</v>
      </c>
      <c r="F231" s="53"/>
      <c r="G231" s="114">
        <v>30</v>
      </c>
      <c r="H231" s="144"/>
      <c r="I231" s="150"/>
      <c r="J231" s="151"/>
      <c r="K231" s="152"/>
      <c r="L231" s="153"/>
      <c r="M231" s="149">
        <f>+SUMPRODUCT(K232:K234,L232:L234)</f>
        <v>0</v>
      </c>
      <c r="N231" s="121">
        <f>+SUM(N232:N234)</f>
        <v>0</v>
      </c>
      <c r="O231" s="149">
        <f>+SUM(O232:O234)</f>
        <v>0</v>
      </c>
      <c r="Q231" s="81">
        <f>+SUM(N231:O231)-M231</f>
        <v>0</v>
      </c>
      <c r="R231" s="81">
        <f>SUMPRODUCT(K232:K234,L232:L234)-SUM(M232:M234)</f>
        <v>0</v>
      </c>
      <c r="T231" s="25">
        <f>G231*N231</f>
        <v>0</v>
      </c>
      <c r="V231" s="122">
        <f>(((1+$V$10)^G231)*$V$10)/(((1+$V$10)^G231)-1)</f>
        <v>5.9776453108272141E-2</v>
      </c>
      <c r="W231" s="123">
        <f>IFERROR(N231*V231,0)</f>
        <v>0</v>
      </c>
    </row>
    <row r="232" spans="2:23" s="124" customFormat="1" ht="12.75" hidden="1" customHeight="1" x14ac:dyDescent="0.2">
      <c r="B232" s="125"/>
      <c r="C232" s="126"/>
      <c r="D232" s="127"/>
      <c r="E232" s="180"/>
      <c r="F232" s="181"/>
      <c r="G232" s="114"/>
      <c r="H232" s="130"/>
      <c r="I232" s="131"/>
      <c r="J232" s="132"/>
      <c r="K232" s="133"/>
      <c r="L232" s="134"/>
      <c r="M232" s="499">
        <f>+L232*K232</f>
        <v>0</v>
      </c>
      <c r="N232" s="136"/>
      <c r="O232" s="135"/>
      <c r="Q232" s="137"/>
      <c r="T232" s="138"/>
    </row>
    <row r="233" spans="2:23" s="124" customFormat="1" ht="12.75" x14ac:dyDescent="0.2">
      <c r="B233" s="125"/>
      <c r="C233" s="126"/>
      <c r="D233" s="127"/>
      <c r="E233" s="885"/>
      <c r="F233" s="886"/>
      <c r="G233" s="114"/>
      <c r="H233" s="130"/>
      <c r="I233" s="131"/>
      <c r="J233" s="132"/>
      <c r="K233" s="133"/>
      <c r="L233" s="134"/>
      <c r="M233" s="498">
        <f>+L233*K233</f>
        <v>0</v>
      </c>
      <c r="N233" s="136"/>
      <c r="O233" s="135"/>
      <c r="Q233" s="137"/>
      <c r="T233" s="138"/>
    </row>
    <row r="234" spans="2:23" s="124" customFormat="1" ht="12.75" x14ac:dyDescent="0.2">
      <c r="B234" s="125"/>
      <c r="C234" s="126"/>
      <c r="D234" s="127"/>
      <c r="E234" s="885"/>
      <c r="F234" s="886"/>
      <c r="G234" s="114"/>
      <c r="H234" s="130"/>
      <c r="I234" s="131"/>
      <c r="J234" s="132"/>
      <c r="K234" s="133"/>
      <c r="L234" s="134"/>
      <c r="M234" s="498">
        <f>+L234*K234</f>
        <v>0</v>
      </c>
      <c r="N234" s="136"/>
      <c r="O234" s="135"/>
      <c r="Q234" s="137"/>
      <c r="T234" s="138"/>
    </row>
    <row r="235" spans="2:23" x14ac:dyDescent="0.2">
      <c r="B235" s="109"/>
      <c r="C235" s="110"/>
      <c r="D235" s="141">
        <v>315</v>
      </c>
      <c r="E235" s="52" t="str">
        <f ca="1">OFFSET(Sprachen!A377,0,'START, DÉBUT, INIZIO'!$D$4-1,1,1)</f>
        <v>Elektrische Schutzeinrichtungen</v>
      </c>
      <c r="F235" s="53"/>
      <c r="G235" s="114">
        <v>20</v>
      </c>
      <c r="H235" s="144"/>
      <c r="I235" s="150"/>
      <c r="J235" s="151"/>
      <c r="K235" s="152"/>
      <c r="L235" s="153"/>
      <c r="M235" s="149">
        <f>+SUMPRODUCT(K236:K238,L236:L238)</f>
        <v>0</v>
      </c>
      <c r="N235" s="121">
        <f>+SUM(N236:N238)</f>
        <v>0</v>
      </c>
      <c r="O235" s="149">
        <f>+SUM(O236:O238)</f>
        <v>0</v>
      </c>
      <c r="Q235" s="81">
        <f>+SUM(N235:O235)-M235</f>
        <v>0</v>
      </c>
      <c r="R235" s="81">
        <f>SUMPRODUCT(K236:K238,L236:L238)-SUM(M236:M238)</f>
        <v>0</v>
      </c>
      <c r="T235" s="25">
        <f>G235*N235</f>
        <v>0</v>
      </c>
      <c r="V235" s="122">
        <f>(((1+$V$10)^G235)*$V$10)/(((1+$V$10)^G235)-1)</f>
        <v>7.5384649087339328E-2</v>
      </c>
      <c r="W235" s="123">
        <f>IFERROR(N235*V235,0)</f>
        <v>0</v>
      </c>
    </row>
    <row r="236" spans="2:23" s="124" customFormat="1" ht="12.75" hidden="1" customHeight="1" x14ac:dyDescent="0.2">
      <c r="B236" s="125"/>
      <c r="C236" s="126"/>
      <c r="D236" s="127"/>
      <c r="E236" s="180"/>
      <c r="F236" s="181"/>
      <c r="G236" s="114"/>
      <c r="H236" s="130"/>
      <c r="I236" s="131"/>
      <c r="J236" s="132"/>
      <c r="K236" s="133"/>
      <c r="L236" s="134"/>
      <c r="M236" s="499">
        <f>+L236*K236</f>
        <v>0</v>
      </c>
      <c r="N236" s="136"/>
      <c r="O236" s="135"/>
      <c r="Q236" s="137"/>
      <c r="T236" s="138"/>
    </row>
    <row r="237" spans="2:23" s="124" customFormat="1" ht="12.75" x14ac:dyDescent="0.2">
      <c r="B237" s="125"/>
      <c r="C237" s="126"/>
      <c r="D237" s="127"/>
      <c r="E237" s="885"/>
      <c r="F237" s="886"/>
      <c r="G237" s="114"/>
      <c r="H237" s="130"/>
      <c r="I237" s="131"/>
      <c r="J237" s="132"/>
      <c r="K237" s="133"/>
      <c r="L237" s="134"/>
      <c r="M237" s="498">
        <f>+L237*K237</f>
        <v>0</v>
      </c>
      <c r="N237" s="136"/>
      <c r="O237" s="135"/>
      <c r="Q237" s="137"/>
      <c r="T237" s="138"/>
    </row>
    <row r="238" spans="2:23" s="124" customFormat="1" ht="12.75" x14ac:dyDescent="0.2">
      <c r="B238" s="125"/>
      <c r="C238" s="126"/>
      <c r="D238" s="127"/>
      <c r="E238" s="885"/>
      <c r="F238" s="886"/>
      <c r="G238" s="114"/>
      <c r="H238" s="130"/>
      <c r="I238" s="131"/>
      <c r="J238" s="132"/>
      <c r="K238" s="133"/>
      <c r="L238" s="134"/>
      <c r="M238" s="498">
        <f>+L238*K238</f>
        <v>0</v>
      </c>
      <c r="N238" s="136"/>
      <c r="O238" s="135"/>
      <c r="Q238" s="137"/>
      <c r="T238" s="138"/>
    </row>
    <row r="239" spans="2:23" x14ac:dyDescent="0.2">
      <c r="B239" s="109"/>
      <c r="C239" s="110"/>
      <c r="D239" s="141">
        <v>316</v>
      </c>
      <c r="E239" s="52" t="str">
        <f ca="1">OFFSET(Sprachen!A378,0,'START, DÉBUT, INIZIO'!$D$4-1,1,1)</f>
        <v>Baunebengewerbe</v>
      </c>
      <c r="F239" s="53"/>
      <c r="G239" s="114">
        <v>40</v>
      </c>
      <c r="H239" s="144"/>
      <c r="I239" s="150"/>
      <c r="J239" s="151"/>
      <c r="K239" s="152"/>
      <c r="L239" s="153"/>
      <c r="M239" s="149">
        <f>+SUMPRODUCT(K240:K242,L240:L242)</f>
        <v>0</v>
      </c>
      <c r="N239" s="121">
        <f>+SUM(N240:N242)</f>
        <v>0</v>
      </c>
      <c r="O239" s="149">
        <f>+SUM(O240:O242)</f>
        <v>0</v>
      </c>
      <c r="Q239" s="81">
        <f>+SUM(N239:O239)-M239</f>
        <v>0</v>
      </c>
      <c r="R239" s="81">
        <f>SUMPRODUCT(K240:K242,L240:L242)-SUM(M240:M242)</f>
        <v>0</v>
      </c>
      <c r="T239" s="25">
        <f>G239*N239</f>
        <v>0</v>
      </c>
      <c r="V239" s="122">
        <f>(((1+$V$10)^G239)*$V$10)/(((1+$V$10)^G239)-1)</f>
        <v>5.2609537499785704E-2</v>
      </c>
      <c r="W239" s="123">
        <f>IFERROR(N239*V239,0)</f>
        <v>0</v>
      </c>
    </row>
    <row r="240" spans="2:23" s="124" customFormat="1" ht="12.75" hidden="1" customHeight="1" x14ac:dyDescent="0.2">
      <c r="B240" s="125"/>
      <c r="C240" s="126"/>
      <c r="D240" s="127"/>
      <c r="E240" s="180"/>
      <c r="F240" s="181"/>
      <c r="G240" s="114"/>
      <c r="H240" s="130"/>
      <c r="I240" s="131"/>
      <c r="J240" s="132"/>
      <c r="K240" s="133"/>
      <c r="L240" s="134"/>
      <c r="M240" s="499">
        <f>+L240*K240</f>
        <v>0</v>
      </c>
      <c r="N240" s="136"/>
      <c r="O240" s="135"/>
      <c r="Q240" s="137"/>
      <c r="T240" s="138"/>
    </row>
    <row r="241" spans="2:23" s="124" customFormat="1" ht="12.75" x14ac:dyDescent="0.2">
      <c r="B241" s="125"/>
      <c r="C241" s="126"/>
      <c r="D241" s="127"/>
      <c r="E241" s="885"/>
      <c r="F241" s="886"/>
      <c r="G241" s="114"/>
      <c r="H241" s="130"/>
      <c r="I241" s="131"/>
      <c r="J241" s="132"/>
      <c r="K241" s="133"/>
      <c r="L241" s="134"/>
      <c r="M241" s="498">
        <f>+L241*K241</f>
        <v>0</v>
      </c>
      <c r="N241" s="136"/>
      <c r="O241" s="135"/>
      <c r="Q241" s="137"/>
      <c r="T241" s="138"/>
    </row>
    <row r="242" spans="2:23" s="124" customFormat="1" ht="12.75" x14ac:dyDescent="0.2">
      <c r="B242" s="125"/>
      <c r="C242" s="126"/>
      <c r="D242" s="127"/>
      <c r="E242" s="885"/>
      <c r="F242" s="886"/>
      <c r="G242" s="114"/>
      <c r="H242" s="130"/>
      <c r="I242" s="131"/>
      <c r="J242" s="132"/>
      <c r="K242" s="133"/>
      <c r="L242" s="134"/>
      <c r="M242" s="498">
        <f>+L242*K242</f>
        <v>0</v>
      </c>
      <c r="N242" s="136"/>
      <c r="O242" s="135"/>
      <c r="Q242" s="137"/>
      <c r="T242" s="138"/>
    </row>
    <row r="243" spans="2:23" x14ac:dyDescent="0.2">
      <c r="B243" s="109"/>
      <c r="C243" s="110"/>
      <c r="D243" s="141">
        <v>317</v>
      </c>
      <c r="E243" s="52" t="str">
        <f ca="1">OFFSET(Sprachen!A379,0,'START, DÉBUT, INIZIO'!$D$4-1,1,1)</f>
        <v>Ersatzteile</v>
      </c>
      <c r="F243" s="53"/>
      <c r="G243" s="114">
        <v>40</v>
      </c>
      <c r="H243" s="144"/>
      <c r="I243" s="150"/>
      <c r="J243" s="151"/>
      <c r="K243" s="152"/>
      <c r="L243" s="153"/>
      <c r="M243" s="149">
        <f>+SUMPRODUCT(K244:K246,L244:L246)</f>
        <v>0</v>
      </c>
      <c r="N243" s="121">
        <f>+SUM(N244:N246)</f>
        <v>0</v>
      </c>
      <c r="O243" s="149">
        <f>+SUM(O244:O246)</f>
        <v>0</v>
      </c>
      <c r="Q243" s="81">
        <f>+SUM(N243:O243)-M243</f>
        <v>0</v>
      </c>
      <c r="R243" s="81">
        <f>SUMPRODUCT(K244:K246,L244:L246)-SUM(M244:M246)</f>
        <v>0</v>
      </c>
      <c r="T243" s="25">
        <f>G243*N243</f>
        <v>0</v>
      </c>
      <c r="V243" s="122">
        <f>(((1+$V$10)^G243)*$V$10)/(((1+$V$10)^G243)-1)</f>
        <v>5.2609537499785704E-2</v>
      </c>
      <c r="W243" s="123">
        <f>IFERROR(N243*V243,0)</f>
        <v>0</v>
      </c>
    </row>
    <row r="244" spans="2:23" s="124" customFormat="1" ht="12" hidden="1" customHeight="1" x14ac:dyDescent="0.2">
      <c r="B244" s="125"/>
      <c r="C244" s="126"/>
      <c r="D244" s="127"/>
      <c r="E244" s="180"/>
      <c r="F244" s="181"/>
      <c r="G244" s="159"/>
      <c r="H244" s="130"/>
      <c r="I244" s="131"/>
      <c r="J244" s="132"/>
      <c r="K244" s="133"/>
      <c r="L244" s="134"/>
      <c r="M244" s="499">
        <f>+L244*K244</f>
        <v>0</v>
      </c>
      <c r="N244" s="136"/>
      <c r="O244" s="135"/>
      <c r="Q244" s="137"/>
      <c r="T244" s="138"/>
    </row>
    <row r="245" spans="2:23" s="124" customFormat="1" ht="12.75" x14ac:dyDescent="0.2">
      <c r="B245" s="125"/>
      <c r="C245" s="126"/>
      <c r="D245" s="127"/>
      <c r="E245" s="885"/>
      <c r="F245" s="886"/>
      <c r="G245" s="114"/>
      <c r="H245" s="130"/>
      <c r="I245" s="131"/>
      <c r="J245" s="132"/>
      <c r="K245" s="133"/>
      <c r="L245" s="134"/>
      <c r="M245" s="498">
        <f>+L245*K245</f>
        <v>0</v>
      </c>
      <c r="N245" s="136"/>
      <c r="O245" s="135"/>
      <c r="Q245" s="137"/>
      <c r="T245" s="138"/>
    </row>
    <row r="246" spans="2:23" s="124" customFormat="1" ht="12.75" x14ac:dyDescent="0.2">
      <c r="B246" s="125"/>
      <c r="C246" s="126"/>
      <c r="D246" s="127"/>
      <c r="E246" s="885"/>
      <c r="F246" s="886"/>
      <c r="G246" s="114"/>
      <c r="H246" s="130"/>
      <c r="I246" s="131"/>
      <c r="J246" s="132"/>
      <c r="K246" s="133"/>
      <c r="L246" s="134"/>
      <c r="M246" s="498">
        <f>+L246*K246</f>
        <v>0</v>
      </c>
      <c r="N246" s="136"/>
      <c r="O246" s="135"/>
      <c r="Q246" s="137"/>
      <c r="T246" s="138"/>
    </row>
    <row r="247" spans="2:23" ht="4.9000000000000004" customHeight="1" x14ac:dyDescent="0.2">
      <c r="B247" s="109"/>
      <c r="C247" s="110"/>
      <c r="D247" s="160"/>
      <c r="E247" s="183"/>
      <c r="F247" s="184"/>
      <c r="G247" s="114"/>
      <c r="H247" s="161"/>
      <c r="I247" s="162"/>
      <c r="J247" s="163"/>
      <c r="K247" s="164"/>
      <c r="L247" s="165"/>
      <c r="M247" s="149"/>
      <c r="N247" s="121"/>
      <c r="O247" s="149"/>
      <c r="Q247" s="157"/>
    </row>
    <row r="248" spans="2:23" x14ac:dyDescent="0.2">
      <c r="B248" s="109"/>
      <c r="C248" s="110"/>
      <c r="D248" s="141">
        <v>318</v>
      </c>
      <c r="E248" s="885" t="s">
        <v>46</v>
      </c>
      <c r="F248" s="886"/>
      <c r="G248" s="159"/>
      <c r="H248" s="144"/>
      <c r="I248" s="145"/>
      <c r="J248" s="146"/>
      <c r="K248" s="147"/>
      <c r="L248" s="148"/>
      <c r="M248" s="149">
        <f>+SUMPRODUCT(K249:K251,L249:L251)</f>
        <v>0</v>
      </c>
      <c r="N248" s="121">
        <f>+SUM(N249:N251)</f>
        <v>0</v>
      </c>
      <c r="O248" s="149">
        <f>+SUM(O249:O251)</f>
        <v>0</v>
      </c>
      <c r="Q248" s="81">
        <f>+SUM(N248:O248)-M248</f>
        <v>0</v>
      </c>
      <c r="R248" s="81">
        <f>SUMPRODUCT(K249:K251,L249:L251)-SUM(M249:M251)</f>
        <v>0</v>
      </c>
      <c r="T248" s="25">
        <f>G248*N248</f>
        <v>0</v>
      </c>
      <c r="V248" s="122" t="e">
        <f>(((1+$V$10)^G248)*$V$10)/(((1+$V$10)^G248)-1)</f>
        <v>#DIV/0!</v>
      </c>
      <c r="W248" s="123">
        <f>IFERROR(N248*V248,0)</f>
        <v>0</v>
      </c>
    </row>
    <row r="249" spans="2:23" s="124" customFormat="1" ht="12" hidden="1" customHeight="1" x14ac:dyDescent="0.2">
      <c r="B249" s="125"/>
      <c r="C249" s="126"/>
      <c r="D249" s="127"/>
      <c r="E249" s="885"/>
      <c r="F249" s="886"/>
      <c r="G249" s="159"/>
      <c r="H249" s="130"/>
      <c r="I249" s="131"/>
      <c r="J249" s="132"/>
      <c r="K249" s="133"/>
      <c r="L249" s="134"/>
      <c r="M249" s="499">
        <f>+L249*K249</f>
        <v>0</v>
      </c>
      <c r="N249" s="136"/>
      <c r="O249" s="135"/>
      <c r="Q249" s="137"/>
      <c r="T249" s="138"/>
    </row>
    <row r="250" spans="2:23" s="124" customFormat="1" ht="12.75" x14ac:dyDescent="0.2">
      <c r="B250" s="125"/>
      <c r="C250" s="126"/>
      <c r="D250" s="127"/>
      <c r="E250" s="885"/>
      <c r="F250" s="886"/>
      <c r="G250" s="114"/>
      <c r="H250" s="130"/>
      <c r="I250" s="131"/>
      <c r="J250" s="132"/>
      <c r="K250" s="133"/>
      <c r="L250" s="134"/>
      <c r="M250" s="498">
        <f>+L250*K250</f>
        <v>0</v>
      </c>
      <c r="N250" s="136"/>
      <c r="O250" s="135"/>
      <c r="Q250" s="137"/>
      <c r="T250" s="138"/>
    </row>
    <row r="251" spans="2:23" s="124" customFormat="1" ht="12.75" x14ac:dyDescent="0.2">
      <c r="B251" s="125"/>
      <c r="C251" s="126"/>
      <c r="D251" s="127"/>
      <c r="E251" s="885"/>
      <c r="F251" s="886"/>
      <c r="G251" s="114"/>
      <c r="H251" s="130"/>
      <c r="I251" s="131"/>
      <c r="J251" s="132"/>
      <c r="K251" s="133"/>
      <c r="L251" s="134"/>
      <c r="M251" s="498">
        <f>+L251*K251</f>
        <v>0</v>
      </c>
      <c r="N251" s="136"/>
      <c r="O251" s="135"/>
      <c r="Q251" s="137"/>
      <c r="T251" s="138"/>
    </row>
    <row r="252" spans="2:23" ht="4.9000000000000004" customHeight="1" x14ac:dyDescent="0.2">
      <c r="B252" s="109"/>
      <c r="C252" s="110"/>
      <c r="D252" s="160"/>
      <c r="E252" s="183"/>
      <c r="F252" s="184"/>
      <c r="G252" s="185"/>
      <c r="H252" s="161"/>
      <c r="I252" s="162"/>
      <c r="J252" s="163"/>
      <c r="K252" s="164"/>
      <c r="L252" s="165"/>
      <c r="M252" s="149"/>
      <c r="N252" s="121"/>
      <c r="O252" s="149"/>
      <c r="Q252" s="157"/>
    </row>
    <row r="253" spans="2:23" x14ac:dyDescent="0.2">
      <c r="B253" s="109"/>
      <c r="C253" s="110"/>
      <c r="D253" s="141">
        <v>319</v>
      </c>
      <c r="E253" s="885" t="s">
        <v>46</v>
      </c>
      <c r="F253" s="886"/>
      <c r="G253" s="159"/>
      <c r="H253" s="144"/>
      <c r="I253" s="145"/>
      <c r="J253" s="146"/>
      <c r="K253" s="147"/>
      <c r="L253" s="148"/>
      <c r="M253" s="149">
        <f>+SUMPRODUCT(K254:K256,L254:L256)</f>
        <v>0</v>
      </c>
      <c r="N253" s="121">
        <f>+SUM(N254:N256)</f>
        <v>0</v>
      </c>
      <c r="O253" s="149">
        <f>+SUM(O254:O256)</f>
        <v>0</v>
      </c>
      <c r="Q253" s="81">
        <f>+SUM(N253:O253)-M253</f>
        <v>0</v>
      </c>
      <c r="R253" s="81">
        <f>SUMPRODUCT(K254:K256,L254:L256)-SUM(M254:M256)</f>
        <v>0</v>
      </c>
      <c r="T253" s="25">
        <f>G253*N253</f>
        <v>0</v>
      </c>
      <c r="V253" s="122" t="e">
        <f>(((1+$V$10)^G253)*$V$10)/(((1+$V$10)^G253)-1)</f>
        <v>#DIV/0!</v>
      </c>
      <c r="W253" s="123">
        <f>IFERROR(N253*V253,0)</f>
        <v>0</v>
      </c>
    </row>
    <row r="254" spans="2:23" s="124" customFormat="1" ht="12" hidden="1" customHeight="1" x14ac:dyDescent="0.2">
      <c r="B254" s="125"/>
      <c r="C254" s="126"/>
      <c r="D254" s="127"/>
      <c r="E254" s="885"/>
      <c r="F254" s="886"/>
      <c r="G254" s="159"/>
      <c r="H254" s="130"/>
      <c r="I254" s="131"/>
      <c r="J254" s="132"/>
      <c r="K254" s="133"/>
      <c r="L254" s="134"/>
      <c r="M254" s="499">
        <f>+L254*K254</f>
        <v>0</v>
      </c>
      <c r="N254" s="136"/>
      <c r="O254" s="135"/>
      <c r="Q254" s="137"/>
      <c r="T254" s="138"/>
    </row>
    <row r="255" spans="2:23" s="124" customFormat="1" ht="12.75" x14ac:dyDescent="0.2">
      <c r="B255" s="125"/>
      <c r="C255" s="126"/>
      <c r="D255" s="127"/>
      <c r="E255" s="885"/>
      <c r="F255" s="886"/>
      <c r="G255" s="114"/>
      <c r="H255" s="130"/>
      <c r="I255" s="131"/>
      <c r="J255" s="132"/>
      <c r="K255" s="133"/>
      <c r="L255" s="134"/>
      <c r="M255" s="498">
        <f>+L255*K255</f>
        <v>0</v>
      </c>
      <c r="N255" s="136"/>
      <c r="O255" s="135"/>
      <c r="Q255" s="137"/>
      <c r="T255" s="138"/>
    </row>
    <row r="256" spans="2:23" s="124" customFormat="1" ht="12.75" x14ac:dyDescent="0.2">
      <c r="B256" s="125"/>
      <c r="C256" s="126"/>
      <c r="D256" s="127"/>
      <c r="E256" s="885"/>
      <c r="F256" s="886"/>
      <c r="G256" s="114"/>
      <c r="H256" s="130"/>
      <c r="I256" s="131"/>
      <c r="J256" s="132"/>
      <c r="K256" s="133"/>
      <c r="L256" s="134"/>
      <c r="M256" s="498">
        <f>+L256*K256</f>
        <v>0</v>
      </c>
      <c r="N256" s="136"/>
      <c r="O256" s="135"/>
      <c r="Q256" s="137"/>
      <c r="T256" s="138"/>
    </row>
    <row r="257" spans="2:23" ht="4.9000000000000004" customHeight="1" x14ac:dyDescent="0.2">
      <c r="B257" s="109"/>
      <c r="C257" s="110"/>
      <c r="D257" s="160"/>
      <c r="E257" s="183"/>
      <c r="F257" s="184"/>
      <c r="G257" s="185"/>
      <c r="H257" s="161"/>
      <c r="I257" s="162"/>
      <c r="J257" s="163"/>
      <c r="K257" s="164"/>
      <c r="L257" s="165"/>
      <c r="M257" s="149"/>
      <c r="N257" s="121"/>
      <c r="O257" s="149"/>
      <c r="Q257" s="157"/>
    </row>
    <row r="258" spans="2:23" x14ac:dyDescent="0.2">
      <c r="B258" s="109"/>
      <c r="C258" s="110"/>
      <c r="D258" s="141">
        <v>320</v>
      </c>
      <c r="E258" s="885" t="s">
        <v>46</v>
      </c>
      <c r="F258" s="886"/>
      <c r="G258" s="159"/>
      <c r="H258" s="144"/>
      <c r="I258" s="145"/>
      <c r="J258" s="146"/>
      <c r="K258" s="147"/>
      <c r="L258" s="148"/>
      <c r="M258" s="149">
        <f>+SUMPRODUCT(K259:K261,L259:L261)</f>
        <v>0</v>
      </c>
      <c r="N258" s="121">
        <f>+SUM(N259:N261)</f>
        <v>0</v>
      </c>
      <c r="O258" s="149">
        <f>+SUM(O259:O261)</f>
        <v>0</v>
      </c>
      <c r="Q258" s="81">
        <f>+SUM(N258:O258)-M258</f>
        <v>0</v>
      </c>
      <c r="R258" s="81">
        <f>SUMPRODUCT(K259:K261,L259:L261)-SUM(M259:M261)</f>
        <v>0</v>
      </c>
      <c r="T258" s="25">
        <f>G258*N258</f>
        <v>0</v>
      </c>
      <c r="V258" s="122" t="e">
        <f>(((1+$V$10)^G258)*$V$10)/(((1+$V$10)^G258)-1)</f>
        <v>#DIV/0!</v>
      </c>
      <c r="W258" s="123">
        <f>IFERROR(N258*V258,0)</f>
        <v>0</v>
      </c>
    </row>
    <row r="259" spans="2:23" s="124" customFormat="1" ht="12" hidden="1" customHeight="1" x14ac:dyDescent="0.2">
      <c r="B259" s="125"/>
      <c r="C259" s="126"/>
      <c r="D259" s="127"/>
      <c r="E259" s="885"/>
      <c r="F259" s="886"/>
      <c r="G259" s="159"/>
      <c r="H259" s="130"/>
      <c r="I259" s="131"/>
      <c r="J259" s="132"/>
      <c r="K259" s="133"/>
      <c r="L259" s="134"/>
      <c r="M259" s="499">
        <f>+L259*K259</f>
        <v>0</v>
      </c>
      <c r="N259" s="136"/>
      <c r="O259" s="135"/>
      <c r="Q259" s="137"/>
      <c r="T259" s="138"/>
    </row>
    <row r="260" spans="2:23" s="124" customFormat="1" ht="12.75" x14ac:dyDescent="0.2">
      <c r="B260" s="125"/>
      <c r="C260" s="126"/>
      <c r="D260" s="127"/>
      <c r="E260" s="885"/>
      <c r="F260" s="886"/>
      <c r="G260" s="114"/>
      <c r="H260" s="130"/>
      <c r="I260" s="131"/>
      <c r="J260" s="132"/>
      <c r="K260" s="133"/>
      <c r="L260" s="134"/>
      <c r="M260" s="498">
        <f>+L260*K260</f>
        <v>0</v>
      </c>
      <c r="N260" s="136"/>
      <c r="O260" s="135"/>
      <c r="Q260" s="137"/>
      <c r="T260" s="138"/>
    </row>
    <row r="261" spans="2:23" s="124" customFormat="1" ht="12.75" x14ac:dyDescent="0.2">
      <c r="B261" s="125"/>
      <c r="C261" s="126"/>
      <c r="D261" s="166"/>
      <c r="E261" s="885"/>
      <c r="F261" s="886"/>
      <c r="G261" s="114"/>
      <c r="H261" s="167"/>
      <c r="I261" s="168"/>
      <c r="J261" s="169"/>
      <c r="K261" s="170"/>
      <c r="L261" s="171"/>
      <c r="M261" s="498">
        <f>+L261*K261</f>
        <v>0</v>
      </c>
      <c r="N261" s="172"/>
      <c r="O261" s="186"/>
      <c r="Q261" s="137"/>
      <c r="T261" s="138"/>
    </row>
    <row r="262" spans="2:23" s="85" customFormat="1" ht="15" x14ac:dyDescent="0.2">
      <c r="B262" s="98"/>
      <c r="C262" s="99">
        <v>40</v>
      </c>
      <c r="D262" s="99" t="str">
        <f ca="1">OFFSET(Sprachen!A380,0,'START, DÉBUT, INIZIO'!$D$4-1,1,1)</f>
        <v>Sonstige Anlagen</v>
      </c>
      <c r="E262" s="99"/>
      <c r="F262" s="100"/>
      <c r="G262" s="101"/>
      <c r="H262" s="102"/>
      <c r="I262" s="103"/>
      <c r="J262" s="104"/>
      <c r="K262" s="105"/>
      <c r="L262" s="106"/>
      <c r="M262" s="108">
        <f>+M263+M267+M271+M275+M279+M283+M287+M291+M296+M301+M306</f>
        <v>0</v>
      </c>
      <c r="N262" s="108">
        <f>+N263+N267+N271+N275+N279+N283+N287+N291+N296+N301+N306</f>
        <v>0</v>
      </c>
      <c r="O262" s="108">
        <f>+O263+O267+O271+O275+O279+O283+O287+O291+O296+O301+O306</f>
        <v>0</v>
      </c>
      <c r="Q262" s="81">
        <f>+SUM(N262:O262)-M262</f>
        <v>0</v>
      </c>
      <c r="T262" s="97"/>
    </row>
    <row r="263" spans="2:23" x14ac:dyDescent="0.2">
      <c r="B263" s="109"/>
      <c r="C263" s="110"/>
      <c r="D263" s="111">
        <v>400</v>
      </c>
      <c r="E263" s="173" t="str">
        <f ca="1">OFFSET(Sprachen!A381,0,'START, DÉBUT, INIZIO'!$D$4-1,1,1)</f>
        <v>Schleusen</v>
      </c>
      <c r="F263" s="174"/>
      <c r="G263" s="114">
        <v>80</v>
      </c>
      <c r="H263" s="115"/>
      <c r="I263" s="176"/>
      <c r="J263" s="177"/>
      <c r="K263" s="178"/>
      <c r="L263" s="179"/>
      <c r="M263" s="149">
        <f>+SUMPRODUCT(K264:K266,L264:L266)</f>
        <v>0</v>
      </c>
      <c r="N263" s="121">
        <f>+SUM(N264:N266)</f>
        <v>0</v>
      </c>
      <c r="O263" s="149">
        <f>+SUM(O264:O266)</f>
        <v>0</v>
      </c>
      <c r="Q263" s="81">
        <f>+SUM(N263:O263)-M263</f>
        <v>0</v>
      </c>
      <c r="R263" s="81">
        <f>SUMPRODUCT(K264:K266,L264:L266)-SUM(M264:M266)</f>
        <v>0</v>
      </c>
      <c r="T263" s="25">
        <f>G263*N263</f>
        <v>0</v>
      </c>
      <c r="V263" s="122">
        <f>(((1+$V$10)^G263)*$V$10)/(((1+$V$10)^G263)-1)</f>
        <v>4.4306137652275909E-2</v>
      </c>
      <c r="W263" s="123">
        <f>IFERROR(N263*V263,0)</f>
        <v>0</v>
      </c>
    </row>
    <row r="264" spans="2:23" s="124" customFormat="1" ht="12.75" hidden="1" customHeight="1" x14ac:dyDescent="0.2">
      <c r="B264" s="125"/>
      <c r="C264" s="126"/>
      <c r="D264" s="127"/>
      <c r="E264" s="180"/>
      <c r="F264" s="181"/>
      <c r="G264" s="114"/>
      <c r="H264" s="130"/>
      <c r="I264" s="131"/>
      <c r="J264" s="132"/>
      <c r="K264" s="133"/>
      <c r="L264" s="134"/>
      <c r="M264" s="499">
        <f>+L264*K264</f>
        <v>0</v>
      </c>
      <c r="N264" s="136"/>
      <c r="O264" s="135"/>
      <c r="Q264" s="137"/>
      <c r="T264" s="138"/>
    </row>
    <row r="265" spans="2:23" s="124" customFormat="1" ht="12.75" x14ac:dyDescent="0.2">
      <c r="B265" s="125"/>
      <c r="C265" s="126"/>
      <c r="D265" s="127"/>
      <c r="E265" s="885"/>
      <c r="F265" s="886"/>
      <c r="G265" s="114"/>
      <c r="H265" s="130"/>
      <c r="I265" s="131"/>
      <c r="J265" s="132"/>
      <c r="K265" s="133"/>
      <c r="L265" s="134"/>
      <c r="M265" s="498">
        <f>+L265*K265</f>
        <v>0</v>
      </c>
      <c r="N265" s="136"/>
      <c r="O265" s="135"/>
      <c r="Q265" s="137"/>
      <c r="T265" s="138"/>
    </row>
    <row r="266" spans="2:23" s="124" customFormat="1" ht="12.75" x14ac:dyDescent="0.2">
      <c r="B266" s="125"/>
      <c r="C266" s="126"/>
      <c r="D266" s="127"/>
      <c r="E266" s="885"/>
      <c r="F266" s="886"/>
      <c r="G266" s="114"/>
      <c r="H266" s="130"/>
      <c r="I266" s="131"/>
      <c r="J266" s="132"/>
      <c r="K266" s="133"/>
      <c r="L266" s="134"/>
      <c r="M266" s="498">
        <f>+L266*K266</f>
        <v>0</v>
      </c>
      <c r="N266" s="136"/>
      <c r="O266" s="135"/>
      <c r="Q266" s="137"/>
      <c r="T266" s="138"/>
    </row>
    <row r="267" spans="2:23" x14ac:dyDescent="0.2">
      <c r="B267" s="109"/>
      <c r="C267" s="110"/>
      <c r="D267" s="141">
        <v>401</v>
      </c>
      <c r="E267" s="52" t="str">
        <f ca="1">OFFSET(Sprachen!A382,0,'START, DÉBUT, INIZIO'!$D$4-1,1,1)</f>
        <v>Fischauf- und Abstiegsanlagen</v>
      </c>
      <c r="F267" s="53"/>
      <c r="G267" s="114">
        <v>40</v>
      </c>
      <c r="H267" s="144"/>
      <c r="I267" s="150"/>
      <c r="J267" s="151"/>
      <c r="K267" s="152"/>
      <c r="L267" s="153"/>
      <c r="M267" s="149">
        <f>+SUMPRODUCT(K268:K270,L268:L270)</f>
        <v>0</v>
      </c>
      <c r="N267" s="121">
        <f>+SUM(N268:N270)</f>
        <v>0</v>
      </c>
      <c r="O267" s="149">
        <f>+SUM(O268:O270)</f>
        <v>0</v>
      </c>
      <c r="Q267" s="81">
        <f>+SUM(N267:O267)-M267</f>
        <v>0</v>
      </c>
      <c r="R267" s="81">
        <f>SUMPRODUCT(K268:K270,L268:L270)-SUM(M268:M270)</f>
        <v>0</v>
      </c>
      <c r="T267" s="25">
        <f>G267*N267</f>
        <v>0</v>
      </c>
      <c r="V267" s="122">
        <f>(((1+$V$10)^G267)*$V$10)/(((1+$V$10)^G267)-1)</f>
        <v>5.2609537499785704E-2</v>
      </c>
      <c r="W267" s="123">
        <f>IFERROR(N267*V267,0)</f>
        <v>0</v>
      </c>
    </row>
    <row r="268" spans="2:23" s="124" customFormat="1" ht="12.75" hidden="1" customHeight="1" x14ac:dyDescent="0.2">
      <c r="B268" s="125"/>
      <c r="C268" s="126"/>
      <c r="D268" s="127"/>
      <c r="E268" s="180"/>
      <c r="F268" s="181"/>
      <c r="G268" s="114"/>
      <c r="H268" s="130"/>
      <c r="I268" s="131"/>
      <c r="J268" s="132"/>
      <c r="K268" s="133"/>
      <c r="L268" s="134"/>
      <c r="M268" s="499">
        <f>+L268*K268</f>
        <v>0</v>
      </c>
      <c r="N268" s="136"/>
      <c r="O268" s="135"/>
      <c r="Q268" s="137"/>
      <c r="T268" s="138"/>
    </row>
    <row r="269" spans="2:23" s="124" customFormat="1" ht="12.75" x14ac:dyDescent="0.2">
      <c r="B269" s="125"/>
      <c r="C269" s="126"/>
      <c r="D269" s="127"/>
      <c r="E269" s="885"/>
      <c r="F269" s="886"/>
      <c r="G269" s="114"/>
      <c r="H269" s="130"/>
      <c r="I269" s="131"/>
      <c r="J269" s="132"/>
      <c r="K269" s="133"/>
      <c r="L269" s="134"/>
      <c r="M269" s="498">
        <f>+L269*K269</f>
        <v>0</v>
      </c>
      <c r="N269" s="136"/>
      <c r="O269" s="135"/>
      <c r="Q269" s="137"/>
      <c r="T269" s="138"/>
    </row>
    <row r="270" spans="2:23" s="124" customFormat="1" ht="12.75" x14ac:dyDescent="0.2">
      <c r="B270" s="125"/>
      <c r="C270" s="126"/>
      <c r="D270" s="127"/>
      <c r="E270" s="885"/>
      <c r="F270" s="886"/>
      <c r="G270" s="114"/>
      <c r="H270" s="130"/>
      <c r="I270" s="131"/>
      <c r="J270" s="132"/>
      <c r="K270" s="133"/>
      <c r="L270" s="134"/>
      <c r="M270" s="498">
        <f>+L270*K270</f>
        <v>0</v>
      </c>
      <c r="N270" s="136"/>
      <c r="O270" s="135"/>
      <c r="Q270" s="137"/>
      <c r="T270" s="138"/>
    </row>
    <row r="271" spans="2:23" x14ac:dyDescent="0.2">
      <c r="B271" s="109"/>
      <c r="C271" s="110"/>
      <c r="D271" s="141">
        <v>402</v>
      </c>
      <c r="E271" s="52" t="str">
        <f ca="1">OFFSET(Sprachen!A383,0,'START, DÉBUT, INIZIO'!$D$4-1,1,1)</f>
        <v>Bauten Transportwege u. Erschl. (Strassen, Brücken, Stützmauern, etc.)</v>
      </c>
      <c r="F271" s="53"/>
      <c r="G271" s="114">
        <v>60</v>
      </c>
      <c r="H271" s="144"/>
      <c r="I271" s="150"/>
      <c r="J271" s="151"/>
      <c r="K271" s="152"/>
      <c r="L271" s="153"/>
      <c r="M271" s="149">
        <f>+SUMPRODUCT(K272:K274,L272:L274)</f>
        <v>0</v>
      </c>
      <c r="N271" s="121">
        <f>+SUM(N272:N274)</f>
        <v>0</v>
      </c>
      <c r="O271" s="149">
        <f>+SUM(O272:O274)</f>
        <v>0</v>
      </c>
      <c r="Q271" s="81">
        <f>+SUM(N271:O271)-M271</f>
        <v>0</v>
      </c>
      <c r="R271" s="81">
        <f>SUMPRODUCT(K272:K274,L272:L274)-SUM(M272:M274)</f>
        <v>0</v>
      </c>
      <c r="T271" s="25">
        <f>G271*N271</f>
        <v>0</v>
      </c>
      <c r="V271" s="122">
        <f>(((1+$V$10)^G271)*$V$10)/(((1+$V$10)^G271)-1)</f>
        <v>4.652459812042558E-2</v>
      </c>
      <c r="W271" s="123">
        <f>IFERROR(N271*V271,0)</f>
        <v>0</v>
      </c>
    </row>
    <row r="272" spans="2:23" s="124" customFormat="1" ht="12.75" hidden="1" customHeight="1" x14ac:dyDescent="0.2">
      <c r="B272" s="125"/>
      <c r="C272" s="126"/>
      <c r="D272" s="127"/>
      <c r="E272" s="180"/>
      <c r="F272" s="181"/>
      <c r="G272" s="114"/>
      <c r="H272" s="130"/>
      <c r="I272" s="131"/>
      <c r="J272" s="132"/>
      <c r="K272" s="133"/>
      <c r="L272" s="134"/>
      <c r="M272" s="499">
        <f>+L272*K272</f>
        <v>0</v>
      </c>
      <c r="N272" s="136"/>
      <c r="O272" s="135"/>
      <c r="Q272" s="137"/>
      <c r="T272" s="138"/>
    </row>
    <row r="273" spans="2:23" s="124" customFormat="1" ht="12.75" x14ac:dyDescent="0.2">
      <c r="B273" s="125"/>
      <c r="C273" s="126"/>
      <c r="D273" s="127"/>
      <c r="E273" s="885"/>
      <c r="F273" s="886"/>
      <c r="G273" s="114"/>
      <c r="H273" s="130"/>
      <c r="I273" s="131"/>
      <c r="J273" s="132"/>
      <c r="K273" s="133"/>
      <c r="L273" s="134"/>
      <c r="M273" s="498">
        <f>+L273*K273</f>
        <v>0</v>
      </c>
      <c r="N273" s="136"/>
      <c r="O273" s="135"/>
      <c r="Q273" s="137"/>
      <c r="T273" s="138"/>
    </row>
    <row r="274" spans="2:23" s="124" customFormat="1" ht="12.75" x14ac:dyDescent="0.2">
      <c r="B274" s="125"/>
      <c r="C274" s="126"/>
      <c r="D274" s="127"/>
      <c r="E274" s="885"/>
      <c r="F274" s="886"/>
      <c r="G274" s="114"/>
      <c r="H274" s="130"/>
      <c r="I274" s="131"/>
      <c r="J274" s="132"/>
      <c r="K274" s="133"/>
      <c r="L274" s="134"/>
      <c r="M274" s="498">
        <f>+L274*K274</f>
        <v>0</v>
      </c>
      <c r="N274" s="136"/>
      <c r="O274" s="135"/>
      <c r="Q274" s="137"/>
      <c r="T274" s="138"/>
    </row>
    <row r="275" spans="2:23" x14ac:dyDescent="0.2">
      <c r="B275" s="109"/>
      <c r="C275" s="110"/>
      <c r="D275" s="141">
        <v>403</v>
      </c>
      <c r="E275" s="52" t="str">
        <f ca="1">OFFSET(Sprachen!A384,0,'START, DÉBUT, INIZIO'!$D$4-1,1,1)</f>
        <v xml:space="preserve">Seilbahnen </v>
      </c>
      <c r="F275" s="53"/>
      <c r="G275" s="114">
        <v>20</v>
      </c>
      <c r="H275" s="144"/>
      <c r="I275" s="150"/>
      <c r="J275" s="151"/>
      <c r="K275" s="152"/>
      <c r="L275" s="153"/>
      <c r="M275" s="149">
        <f>+SUMPRODUCT(K276:K278,L276:L278)</f>
        <v>0</v>
      </c>
      <c r="N275" s="121">
        <f>+SUM(N276:N278)</f>
        <v>0</v>
      </c>
      <c r="O275" s="149">
        <f>+SUM(O276:O278)</f>
        <v>0</v>
      </c>
      <c r="Q275" s="81">
        <f>+SUM(N275:O275)-M275</f>
        <v>0</v>
      </c>
      <c r="R275" s="81">
        <f>SUMPRODUCT(K276:K278,L276:L278)-SUM(M276:M278)</f>
        <v>0</v>
      </c>
      <c r="T275" s="25">
        <f>G275*N275</f>
        <v>0</v>
      </c>
      <c r="V275" s="122">
        <f>(((1+$V$10)^G275)*$V$10)/(((1+$V$10)^G275)-1)</f>
        <v>7.5384649087339328E-2</v>
      </c>
      <c r="W275" s="123">
        <f>IFERROR(N275*V275,0)</f>
        <v>0</v>
      </c>
    </row>
    <row r="276" spans="2:23" s="124" customFormat="1" ht="12.75" hidden="1" customHeight="1" x14ac:dyDescent="0.2">
      <c r="B276" s="125"/>
      <c r="C276" s="126"/>
      <c r="D276" s="127"/>
      <c r="E276" s="180"/>
      <c r="F276" s="181"/>
      <c r="G276" s="114"/>
      <c r="H276" s="130"/>
      <c r="I276" s="131"/>
      <c r="J276" s="132"/>
      <c r="K276" s="133"/>
      <c r="L276" s="134"/>
      <c r="M276" s="499">
        <f>+L276*K276</f>
        <v>0</v>
      </c>
      <c r="N276" s="136"/>
      <c r="O276" s="135"/>
      <c r="Q276" s="137"/>
      <c r="T276" s="138"/>
    </row>
    <row r="277" spans="2:23" s="124" customFormat="1" ht="12.75" x14ac:dyDescent="0.2">
      <c r="B277" s="125"/>
      <c r="C277" s="126"/>
      <c r="D277" s="127"/>
      <c r="E277" s="885"/>
      <c r="F277" s="886"/>
      <c r="G277" s="114"/>
      <c r="H277" s="130"/>
      <c r="I277" s="131"/>
      <c r="J277" s="132"/>
      <c r="K277" s="133"/>
      <c r="L277" s="134"/>
      <c r="M277" s="498">
        <f>+L277*K277</f>
        <v>0</v>
      </c>
      <c r="N277" s="136"/>
      <c r="O277" s="135"/>
      <c r="Q277" s="137"/>
      <c r="T277" s="138"/>
    </row>
    <row r="278" spans="2:23" s="124" customFormat="1" ht="12.75" x14ac:dyDescent="0.2">
      <c r="B278" s="125"/>
      <c r="C278" s="126"/>
      <c r="D278" s="127"/>
      <c r="E278" s="885"/>
      <c r="F278" s="886"/>
      <c r="G278" s="114"/>
      <c r="H278" s="130"/>
      <c r="I278" s="131"/>
      <c r="J278" s="132"/>
      <c r="K278" s="133"/>
      <c r="L278" s="134"/>
      <c r="M278" s="498">
        <f>+L278*K278</f>
        <v>0</v>
      </c>
      <c r="N278" s="136"/>
      <c r="O278" s="135"/>
      <c r="Q278" s="137"/>
      <c r="T278" s="138"/>
    </row>
    <row r="279" spans="2:23" x14ac:dyDescent="0.2">
      <c r="B279" s="109"/>
      <c r="C279" s="110"/>
      <c r="D279" s="141">
        <v>404</v>
      </c>
      <c r="E279" s="52" t="str">
        <f ca="1">OFFSET(Sprachen!A385,0,'START, DÉBUT, INIZIO'!$D$4-1,1,1)</f>
        <v>Betriebsgebäude</v>
      </c>
      <c r="F279" s="53"/>
      <c r="G279" s="114">
        <v>40</v>
      </c>
      <c r="H279" s="144"/>
      <c r="I279" s="150"/>
      <c r="J279" s="151"/>
      <c r="K279" s="152"/>
      <c r="L279" s="153"/>
      <c r="M279" s="149">
        <f>+SUMPRODUCT(K280:K282,L280:L282)</f>
        <v>0</v>
      </c>
      <c r="N279" s="121">
        <f>+SUM(N280:N282)</f>
        <v>0</v>
      </c>
      <c r="O279" s="149">
        <f>+SUM(O280:O282)</f>
        <v>0</v>
      </c>
      <c r="Q279" s="81">
        <f>+SUM(N279:O279)-M279</f>
        <v>0</v>
      </c>
      <c r="R279" s="81">
        <f>SUMPRODUCT(K280:K282,L280:L282)-SUM(M280:M282)</f>
        <v>0</v>
      </c>
      <c r="T279" s="25">
        <f>G279*N279</f>
        <v>0</v>
      </c>
      <c r="V279" s="122">
        <f>(((1+$V$10)^G279)*$V$10)/(((1+$V$10)^G279)-1)</f>
        <v>5.2609537499785704E-2</v>
      </c>
      <c r="W279" s="123">
        <f>IFERROR(N279*V279,0)</f>
        <v>0</v>
      </c>
    </row>
    <row r="280" spans="2:23" s="124" customFormat="1" ht="12.75" hidden="1" customHeight="1" x14ac:dyDescent="0.2">
      <c r="B280" s="125"/>
      <c r="C280" s="126"/>
      <c r="D280" s="127"/>
      <c r="E280" s="180"/>
      <c r="F280" s="181"/>
      <c r="G280" s="114"/>
      <c r="H280" s="130"/>
      <c r="I280" s="131"/>
      <c r="J280" s="132"/>
      <c r="K280" s="133"/>
      <c r="L280" s="134"/>
      <c r="M280" s="499">
        <f>+L280*K280</f>
        <v>0</v>
      </c>
      <c r="N280" s="136"/>
      <c r="O280" s="135"/>
      <c r="Q280" s="137"/>
      <c r="T280" s="138"/>
    </row>
    <row r="281" spans="2:23" s="124" customFormat="1" ht="12.75" x14ac:dyDescent="0.2">
      <c r="B281" s="125"/>
      <c r="C281" s="126"/>
      <c r="D281" s="127"/>
      <c r="E281" s="885"/>
      <c r="F281" s="886"/>
      <c r="G281" s="114"/>
      <c r="H281" s="130"/>
      <c r="I281" s="131"/>
      <c r="J281" s="132"/>
      <c r="K281" s="133"/>
      <c r="L281" s="134"/>
      <c r="M281" s="498">
        <f>+L281*K281</f>
        <v>0</v>
      </c>
      <c r="N281" s="136"/>
      <c r="O281" s="135"/>
      <c r="Q281" s="137"/>
      <c r="T281" s="138"/>
    </row>
    <row r="282" spans="2:23" s="124" customFormat="1" ht="12.75" x14ac:dyDescent="0.2">
      <c r="B282" s="125"/>
      <c r="C282" s="126"/>
      <c r="D282" s="127"/>
      <c r="E282" s="885"/>
      <c r="F282" s="886"/>
      <c r="G282" s="114"/>
      <c r="H282" s="130"/>
      <c r="I282" s="131"/>
      <c r="J282" s="132"/>
      <c r="K282" s="133"/>
      <c r="L282" s="134"/>
      <c r="M282" s="498">
        <f>+L282*K282</f>
        <v>0</v>
      </c>
      <c r="N282" s="136"/>
      <c r="O282" s="135"/>
      <c r="Q282" s="137"/>
      <c r="T282" s="138"/>
    </row>
    <row r="283" spans="2:23" x14ac:dyDescent="0.2">
      <c r="B283" s="109"/>
      <c r="C283" s="110"/>
      <c r="D283" s="141">
        <v>405</v>
      </c>
      <c r="E283" s="52" t="str">
        <f ca="1">OFFSET(Sprachen!A386,0,'START, DÉBUT, INIZIO'!$D$4-1,1,1)</f>
        <v>Verwaltungsgebäude</v>
      </c>
      <c r="F283" s="53"/>
      <c r="G283" s="114">
        <v>50</v>
      </c>
      <c r="H283" s="144"/>
      <c r="I283" s="150"/>
      <c r="J283" s="151"/>
      <c r="K283" s="152"/>
      <c r="L283" s="153"/>
      <c r="M283" s="149">
        <f>+SUMPRODUCT(K284:K286,L284:L286)</f>
        <v>0</v>
      </c>
      <c r="N283" s="121">
        <f>+SUM(N284:N286)</f>
        <v>0</v>
      </c>
      <c r="O283" s="149">
        <f>+SUM(O284:O286)</f>
        <v>0</v>
      </c>
      <c r="Q283" s="81">
        <f>+SUM(N283:O283)-M283</f>
        <v>0</v>
      </c>
      <c r="R283" s="81">
        <f>SUMPRODUCT(K284:K286,L284:L286)-SUM(M284:M286)</f>
        <v>0</v>
      </c>
      <c r="T283" s="25">
        <f>G283*N283</f>
        <v>0</v>
      </c>
      <c r="V283" s="122">
        <f>(((1+$V$10)^G283)*$V$10)/(((1+$V$10)^G283)-1)</f>
        <v>4.8762830809163174E-2</v>
      </c>
      <c r="W283" s="123">
        <f>IFERROR(N283*V283,0)</f>
        <v>0</v>
      </c>
    </row>
    <row r="284" spans="2:23" s="124" customFormat="1" ht="12.75" hidden="1" customHeight="1" x14ac:dyDescent="0.2">
      <c r="B284" s="125"/>
      <c r="C284" s="126"/>
      <c r="D284" s="127"/>
      <c r="E284" s="180"/>
      <c r="F284" s="181"/>
      <c r="G284" s="114"/>
      <c r="H284" s="130"/>
      <c r="I284" s="131"/>
      <c r="J284" s="132"/>
      <c r="K284" s="133"/>
      <c r="L284" s="134"/>
      <c r="M284" s="499">
        <f>+L284*K284</f>
        <v>0</v>
      </c>
      <c r="N284" s="136"/>
      <c r="O284" s="135"/>
      <c r="Q284" s="137"/>
      <c r="T284" s="138"/>
    </row>
    <row r="285" spans="2:23" s="124" customFormat="1" ht="12.75" x14ac:dyDescent="0.2">
      <c r="B285" s="125"/>
      <c r="C285" s="126"/>
      <c r="D285" s="127"/>
      <c r="E285" s="885"/>
      <c r="F285" s="886"/>
      <c r="G285" s="114"/>
      <c r="H285" s="130"/>
      <c r="I285" s="131"/>
      <c r="J285" s="132"/>
      <c r="K285" s="133"/>
      <c r="L285" s="134"/>
      <c r="M285" s="498">
        <f>+L285*K285</f>
        <v>0</v>
      </c>
      <c r="N285" s="136"/>
      <c r="O285" s="135"/>
      <c r="Q285" s="137"/>
      <c r="T285" s="138"/>
    </row>
    <row r="286" spans="2:23" s="124" customFormat="1" ht="12.75" x14ac:dyDescent="0.2">
      <c r="B286" s="125"/>
      <c r="C286" s="126"/>
      <c r="D286" s="127"/>
      <c r="E286" s="885"/>
      <c r="F286" s="886"/>
      <c r="G286" s="114"/>
      <c r="H286" s="130"/>
      <c r="I286" s="131"/>
      <c r="J286" s="132"/>
      <c r="K286" s="133"/>
      <c r="L286" s="134"/>
      <c r="M286" s="498">
        <f>+L286*K286</f>
        <v>0</v>
      </c>
      <c r="N286" s="136"/>
      <c r="O286" s="135"/>
      <c r="Q286" s="137"/>
      <c r="T286" s="138"/>
    </row>
    <row r="287" spans="2:23" x14ac:dyDescent="0.2">
      <c r="B287" s="109"/>
      <c r="C287" s="110"/>
      <c r="D287" s="141">
        <v>406</v>
      </c>
      <c r="E287" s="52" t="str">
        <f ca="1">OFFSET(Sprachen!A387,0,'START, DÉBUT, INIZIO'!$D$4-1,1,1)</f>
        <v>Baunebengewerbe</v>
      </c>
      <c r="F287" s="53"/>
      <c r="G287" s="114">
        <v>40</v>
      </c>
      <c r="H287" s="144"/>
      <c r="I287" s="150"/>
      <c r="J287" s="151"/>
      <c r="K287" s="152"/>
      <c r="L287" s="153"/>
      <c r="M287" s="149">
        <f>+SUMPRODUCT(K288:K290,L288:L290)</f>
        <v>0</v>
      </c>
      <c r="N287" s="121">
        <f>+SUM(N288:N290)</f>
        <v>0</v>
      </c>
      <c r="O287" s="149">
        <f>+SUM(O288:O290)</f>
        <v>0</v>
      </c>
      <c r="Q287" s="81">
        <f>+SUM(N287:O287)-M287</f>
        <v>0</v>
      </c>
      <c r="R287" s="81">
        <f>SUMPRODUCT(K288:K290,L288:L290)-SUM(M288:M290)</f>
        <v>0</v>
      </c>
      <c r="T287" s="25">
        <f>G287*N287</f>
        <v>0</v>
      </c>
      <c r="V287" s="122">
        <f>(((1+$V$10)^G287)*$V$10)/(((1+$V$10)^G287)-1)</f>
        <v>5.2609537499785704E-2</v>
      </c>
      <c r="W287" s="123">
        <f>IFERROR(N287*V287,0)</f>
        <v>0</v>
      </c>
    </row>
    <row r="288" spans="2:23" s="124" customFormat="1" ht="12.75" hidden="1" customHeight="1" x14ac:dyDescent="0.2">
      <c r="B288" s="125"/>
      <c r="C288" s="126"/>
      <c r="D288" s="127"/>
      <c r="E288" s="180"/>
      <c r="F288" s="181"/>
      <c r="G288" s="114"/>
      <c r="H288" s="130"/>
      <c r="I288" s="131"/>
      <c r="J288" s="132"/>
      <c r="K288" s="133"/>
      <c r="L288" s="134"/>
      <c r="M288" s="499">
        <f>+L288*K288</f>
        <v>0</v>
      </c>
      <c r="N288" s="136"/>
      <c r="O288" s="135"/>
      <c r="Q288" s="137"/>
      <c r="T288" s="138"/>
    </row>
    <row r="289" spans="2:23" s="124" customFormat="1" ht="12.75" x14ac:dyDescent="0.2">
      <c r="B289" s="125"/>
      <c r="C289" s="126"/>
      <c r="D289" s="127"/>
      <c r="E289" s="885"/>
      <c r="F289" s="886"/>
      <c r="G289" s="114"/>
      <c r="H289" s="130"/>
      <c r="I289" s="131"/>
      <c r="J289" s="132"/>
      <c r="K289" s="133"/>
      <c r="L289" s="134"/>
      <c r="M289" s="498">
        <f>+L289*K289</f>
        <v>0</v>
      </c>
      <c r="N289" s="136"/>
      <c r="O289" s="135"/>
      <c r="Q289" s="137"/>
      <c r="T289" s="138"/>
    </row>
    <row r="290" spans="2:23" s="124" customFormat="1" ht="12.75" x14ac:dyDescent="0.2">
      <c r="B290" s="125"/>
      <c r="C290" s="126"/>
      <c r="D290" s="127"/>
      <c r="E290" s="885"/>
      <c r="F290" s="886"/>
      <c r="G290" s="114"/>
      <c r="H290" s="130"/>
      <c r="I290" s="131"/>
      <c r="J290" s="132"/>
      <c r="K290" s="133"/>
      <c r="L290" s="134"/>
      <c r="M290" s="498">
        <f>+L290*K290</f>
        <v>0</v>
      </c>
      <c r="N290" s="136"/>
      <c r="O290" s="135"/>
      <c r="Q290" s="137"/>
      <c r="T290" s="138"/>
    </row>
    <row r="291" spans="2:23" x14ac:dyDescent="0.2">
      <c r="B291" s="109"/>
      <c r="C291" s="110"/>
      <c r="D291" s="141">
        <v>407</v>
      </c>
      <c r="E291" s="52" t="str">
        <f ca="1">OFFSET(Sprachen!A388,0,'START, DÉBUT, INIZIO'!$D$4-1,1,1)</f>
        <v>Ersatzteile</v>
      </c>
      <c r="F291" s="53"/>
      <c r="G291" s="114">
        <v>40</v>
      </c>
      <c r="H291" s="144"/>
      <c r="I291" s="150"/>
      <c r="J291" s="151"/>
      <c r="K291" s="152"/>
      <c r="L291" s="153"/>
      <c r="M291" s="149">
        <f>+SUMPRODUCT(K292:K294,L292:L294)</f>
        <v>0</v>
      </c>
      <c r="N291" s="121">
        <f>+SUM(N292:N294)</f>
        <v>0</v>
      </c>
      <c r="O291" s="149">
        <f>+SUM(O292:O294)</f>
        <v>0</v>
      </c>
      <c r="Q291" s="81">
        <f>+SUM(N291:O291)-M291</f>
        <v>0</v>
      </c>
      <c r="R291" s="81">
        <f>SUMPRODUCT(K292:K294,L292:L294)-SUM(M292:M294)</f>
        <v>0</v>
      </c>
      <c r="T291" s="25">
        <f>G291*N291</f>
        <v>0</v>
      </c>
      <c r="V291" s="122">
        <f>(((1+$V$10)^G291)*$V$10)/(((1+$V$10)^G291)-1)</f>
        <v>5.2609537499785704E-2</v>
      </c>
      <c r="W291" s="123">
        <f>IFERROR(N291*V291,0)</f>
        <v>0</v>
      </c>
    </row>
    <row r="292" spans="2:23" s="124" customFormat="1" ht="12" hidden="1" customHeight="1" x14ac:dyDescent="0.2">
      <c r="B292" s="125"/>
      <c r="C292" s="126"/>
      <c r="D292" s="127"/>
      <c r="E292" s="180"/>
      <c r="F292" s="181"/>
      <c r="G292" s="159"/>
      <c r="H292" s="130"/>
      <c r="I292" s="131"/>
      <c r="J292" s="132"/>
      <c r="K292" s="133"/>
      <c r="L292" s="134"/>
      <c r="M292" s="499">
        <f>+L292*K292</f>
        <v>0</v>
      </c>
      <c r="N292" s="136"/>
      <c r="O292" s="135"/>
      <c r="Q292" s="137"/>
      <c r="T292" s="138"/>
    </row>
    <row r="293" spans="2:23" s="124" customFormat="1" ht="12.75" x14ac:dyDescent="0.2">
      <c r="B293" s="125"/>
      <c r="C293" s="126"/>
      <c r="D293" s="127"/>
      <c r="E293" s="885"/>
      <c r="F293" s="886"/>
      <c r="G293" s="114"/>
      <c r="H293" s="130"/>
      <c r="I293" s="131"/>
      <c r="J293" s="132"/>
      <c r="K293" s="133"/>
      <c r="L293" s="134"/>
      <c r="M293" s="498">
        <f>+L293*K293</f>
        <v>0</v>
      </c>
      <c r="N293" s="136"/>
      <c r="O293" s="135"/>
      <c r="Q293" s="137"/>
      <c r="T293" s="138"/>
    </row>
    <row r="294" spans="2:23" s="124" customFormat="1" ht="12.75" x14ac:dyDescent="0.2">
      <c r="B294" s="125"/>
      <c r="C294" s="126"/>
      <c r="D294" s="127"/>
      <c r="E294" s="885"/>
      <c r="F294" s="886"/>
      <c r="G294" s="114"/>
      <c r="H294" s="130"/>
      <c r="I294" s="131"/>
      <c r="J294" s="132"/>
      <c r="K294" s="133"/>
      <c r="L294" s="134"/>
      <c r="M294" s="498">
        <f>+L294*K294</f>
        <v>0</v>
      </c>
      <c r="N294" s="136"/>
      <c r="O294" s="135"/>
      <c r="Q294" s="137"/>
      <c r="T294" s="138"/>
    </row>
    <row r="295" spans="2:23" ht="4.9000000000000004" customHeight="1" x14ac:dyDescent="0.2">
      <c r="B295" s="109"/>
      <c r="C295" s="110"/>
      <c r="D295" s="160"/>
      <c r="E295" s="183"/>
      <c r="F295" s="184"/>
      <c r="G295" s="185"/>
      <c r="H295" s="161"/>
      <c r="I295" s="162"/>
      <c r="J295" s="163"/>
      <c r="K295" s="164"/>
      <c r="L295" s="165"/>
      <c r="M295" s="149"/>
      <c r="N295" s="121"/>
      <c r="O295" s="149"/>
      <c r="Q295" s="157"/>
    </row>
    <row r="296" spans="2:23" x14ac:dyDescent="0.2">
      <c r="B296" s="109"/>
      <c r="C296" s="110"/>
      <c r="D296" s="141">
        <v>408</v>
      </c>
      <c r="E296" s="885" t="s">
        <v>46</v>
      </c>
      <c r="F296" s="886"/>
      <c r="G296" s="158"/>
      <c r="H296" s="144"/>
      <c r="I296" s="145"/>
      <c r="J296" s="146"/>
      <c r="K296" s="147"/>
      <c r="L296" s="148"/>
      <c r="M296" s="149">
        <f>+SUMPRODUCT(K297:K299,L297:L299)</f>
        <v>0</v>
      </c>
      <c r="N296" s="121">
        <f>+SUM(N297:N299)</f>
        <v>0</v>
      </c>
      <c r="O296" s="149">
        <f>+SUM(O297:O299)</f>
        <v>0</v>
      </c>
      <c r="Q296" s="81">
        <f>+SUM(N296:O296)-M296</f>
        <v>0</v>
      </c>
      <c r="R296" s="81">
        <f>SUMPRODUCT(K297:K299,L297:L299)-SUM(M297:M299)</f>
        <v>0</v>
      </c>
      <c r="T296" s="25">
        <f>G296*N296</f>
        <v>0</v>
      </c>
      <c r="V296" s="122" t="e">
        <f>(((1+$V$10)^G296)*$V$10)/(((1+$V$10)^G296)-1)</f>
        <v>#DIV/0!</v>
      </c>
      <c r="W296" s="123">
        <f>IFERROR(N296*V296,0)</f>
        <v>0</v>
      </c>
    </row>
    <row r="297" spans="2:23" s="124" customFormat="1" ht="12" hidden="1" customHeight="1" x14ac:dyDescent="0.2">
      <c r="B297" s="125"/>
      <c r="C297" s="126"/>
      <c r="D297" s="127"/>
      <c r="E297" s="885"/>
      <c r="F297" s="886"/>
      <c r="G297" s="159"/>
      <c r="H297" s="130"/>
      <c r="I297" s="131"/>
      <c r="J297" s="132"/>
      <c r="K297" s="133"/>
      <c r="L297" s="134"/>
      <c r="M297" s="499">
        <f>+L297*K297</f>
        <v>0</v>
      </c>
      <c r="N297" s="136"/>
      <c r="O297" s="135"/>
      <c r="Q297" s="137"/>
      <c r="T297" s="138"/>
    </row>
    <row r="298" spans="2:23" s="124" customFormat="1" ht="12.75" x14ac:dyDescent="0.2">
      <c r="B298" s="125"/>
      <c r="C298" s="126"/>
      <c r="D298" s="127"/>
      <c r="E298" s="885"/>
      <c r="F298" s="886"/>
      <c r="G298" s="114"/>
      <c r="H298" s="130"/>
      <c r="I298" s="131"/>
      <c r="J298" s="132"/>
      <c r="K298" s="133"/>
      <c r="L298" s="134"/>
      <c r="M298" s="498">
        <f>+L298*K298</f>
        <v>0</v>
      </c>
      <c r="N298" s="136"/>
      <c r="O298" s="135"/>
      <c r="Q298" s="137"/>
      <c r="T298" s="138"/>
    </row>
    <row r="299" spans="2:23" s="124" customFormat="1" ht="12.75" x14ac:dyDescent="0.2">
      <c r="B299" s="125"/>
      <c r="C299" s="126"/>
      <c r="D299" s="127"/>
      <c r="E299" s="885"/>
      <c r="F299" s="886"/>
      <c r="G299" s="114"/>
      <c r="H299" s="130"/>
      <c r="I299" s="131"/>
      <c r="J299" s="132"/>
      <c r="K299" s="133"/>
      <c r="L299" s="134"/>
      <c r="M299" s="498">
        <f>+L299*K299</f>
        <v>0</v>
      </c>
      <c r="N299" s="136"/>
      <c r="O299" s="135"/>
      <c r="Q299" s="137"/>
      <c r="T299" s="138"/>
    </row>
    <row r="300" spans="2:23" ht="4.9000000000000004" customHeight="1" x14ac:dyDescent="0.2">
      <c r="B300" s="109"/>
      <c r="C300" s="110"/>
      <c r="D300" s="160"/>
      <c r="E300" s="183"/>
      <c r="F300" s="184"/>
      <c r="G300" s="185"/>
      <c r="H300" s="161"/>
      <c r="I300" s="162"/>
      <c r="J300" s="163"/>
      <c r="K300" s="164"/>
      <c r="L300" s="165"/>
      <c r="M300" s="149"/>
      <c r="N300" s="121"/>
      <c r="O300" s="149"/>
      <c r="Q300" s="157"/>
    </row>
    <row r="301" spans="2:23" x14ac:dyDescent="0.2">
      <c r="B301" s="109"/>
      <c r="C301" s="110"/>
      <c r="D301" s="141">
        <v>409</v>
      </c>
      <c r="E301" s="885" t="s">
        <v>46</v>
      </c>
      <c r="F301" s="886"/>
      <c r="G301" s="158"/>
      <c r="H301" s="144"/>
      <c r="I301" s="145"/>
      <c r="J301" s="146"/>
      <c r="K301" s="147"/>
      <c r="L301" s="148"/>
      <c r="M301" s="149">
        <f>+SUMPRODUCT(K302:K304,L302:L304)</f>
        <v>0</v>
      </c>
      <c r="N301" s="121">
        <f>+SUM(N302:N304)</f>
        <v>0</v>
      </c>
      <c r="O301" s="149">
        <f>+SUM(O302:O304)</f>
        <v>0</v>
      </c>
      <c r="Q301" s="81">
        <f>+SUM(N301:O301)-M301</f>
        <v>0</v>
      </c>
      <c r="R301" s="81">
        <f>SUMPRODUCT(K302:K304,L302:L304)-SUM(M302:M304)</f>
        <v>0</v>
      </c>
      <c r="T301" s="25">
        <f>G301*N301</f>
        <v>0</v>
      </c>
      <c r="V301" s="122" t="e">
        <f>(((1+$V$10)^G301)*$V$10)/(((1+$V$10)^G301)-1)</f>
        <v>#DIV/0!</v>
      </c>
      <c r="W301" s="123">
        <f>IFERROR(N301*V301,0)</f>
        <v>0</v>
      </c>
    </row>
    <row r="302" spans="2:23" s="124" customFormat="1" ht="12" hidden="1" customHeight="1" x14ac:dyDescent="0.2">
      <c r="B302" s="125"/>
      <c r="C302" s="126"/>
      <c r="D302" s="127"/>
      <c r="E302" s="885"/>
      <c r="F302" s="886"/>
      <c r="G302" s="159"/>
      <c r="H302" s="130"/>
      <c r="I302" s="131"/>
      <c r="J302" s="132"/>
      <c r="K302" s="133"/>
      <c r="L302" s="134"/>
      <c r="M302" s="499">
        <f>+L302*K302</f>
        <v>0</v>
      </c>
      <c r="N302" s="136"/>
      <c r="O302" s="135"/>
      <c r="Q302" s="137"/>
      <c r="T302" s="138"/>
    </row>
    <row r="303" spans="2:23" s="124" customFormat="1" ht="12.75" x14ac:dyDescent="0.2">
      <c r="B303" s="125"/>
      <c r="C303" s="126"/>
      <c r="D303" s="127"/>
      <c r="E303" s="885"/>
      <c r="F303" s="886"/>
      <c r="G303" s="114"/>
      <c r="H303" s="130"/>
      <c r="I303" s="131"/>
      <c r="J303" s="132"/>
      <c r="K303" s="133"/>
      <c r="L303" s="134"/>
      <c r="M303" s="498">
        <f>+L303*K303</f>
        <v>0</v>
      </c>
      <c r="N303" s="136"/>
      <c r="O303" s="135"/>
      <c r="Q303" s="137"/>
      <c r="T303" s="138"/>
    </row>
    <row r="304" spans="2:23" s="124" customFormat="1" ht="12.75" x14ac:dyDescent="0.2">
      <c r="B304" s="125"/>
      <c r="C304" s="126"/>
      <c r="D304" s="127"/>
      <c r="E304" s="885"/>
      <c r="F304" s="886"/>
      <c r="G304" s="114"/>
      <c r="H304" s="130"/>
      <c r="I304" s="131"/>
      <c r="J304" s="132"/>
      <c r="K304" s="133"/>
      <c r="L304" s="134"/>
      <c r="M304" s="498">
        <f>+L304*K304</f>
        <v>0</v>
      </c>
      <c r="N304" s="136"/>
      <c r="O304" s="135"/>
      <c r="Q304" s="137"/>
      <c r="T304" s="138"/>
    </row>
    <row r="305" spans="2:23" ht="4.9000000000000004" customHeight="1" x14ac:dyDescent="0.2">
      <c r="B305" s="109"/>
      <c r="C305" s="110"/>
      <c r="D305" s="160"/>
      <c r="E305" s="183"/>
      <c r="F305" s="184"/>
      <c r="G305" s="185"/>
      <c r="H305" s="161"/>
      <c r="I305" s="162"/>
      <c r="J305" s="163"/>
      <c r="K305" s="164"/>
      <c r="L305" s="165"/>
      <c r="M305" s="149"/>
      <c r="N305" s="121"/>
      <c r="O305" s="149"/>
      <c r="Q305" s="157"/>
    </row>
    <row r="306" spans="2:23" x14ac:dyDescent="0.2">
      <c r="B306" s="109"/>
      <c r="C306" s="110"/>
      <c r="D306" s="141">
        <v>410</v>
      </c>
      <c r="E306" s="885" t="s">
        <v>46</v>
      </c>
      <c r="F306" s="886"/>
      <c r="G306" s="158"/>
      <c r="H306" s="144"/>
      <c r="I306" s="145"/>
      <c r="J306" s="146"/>
      <c r="K306" s="147"/>
      <c r="L306" s="148"/>
      <c r="M306" s="149">
        <f>+SUMPRODUCT(K307:K309,L307:L309)</f>
        <v>0</v>
      </c>
      <c r="N306" s="121">
        <f>+SUM(N307:N309)</f>
        <v>0</v>
      </c>
      <c r="O306" s="149">
        <f>+SUM(O307:O309)</f>
        <v>0</v>
      </c>
      <c r="Q306" s="81">
        <f>+SUM(N306:O306)-M306</f>
        <v>0</v>
      </c>
      <c r="R306" s="81">
        <f>SUMPRODUCT(K307:K309,L307:L309)-SUM(M307:M309)</f>
        <v>0</v>
      </c>
      <c r="T306" s="25">
        <f>G306*N306</f>
        <v>0</v>
      </c>
      <c r="V306" s="122" t="e">
        <f>(((1+$V$10)^G306)*$V$10)/(((1+$V$10)^G306)-1)</f>
        <v>#DIV/0!</v>
      </c>
      <c r="W306" s="123">
        <f>IFERROR(N306*V306,0)</f>
        <v>0</v>
      </c>
    </row>
    <row r="307" spans="2:23" s="124" customFormat="1" ht="12" hidden="1" customHeight="1" x14ac:dyDescent="0.2">
      <c r="B307" s="125"/>
      <c r="C307" s="126"/>
      <c r="D307" s="127"/>
      <c r="E307" s="885"/>
      <c r="F307" s="886"/>
      <c r="G307" s="159"/>
      <c r="H307" s="130"/>
      <c r="I307" s="131"/>
      <c r="J307" s="132"/>
      <c r="K307" s="133"/>
      <c r="L307" s="134"/>
      <c r="M307" s="499">
        <f>+L307*K307</f>
        <v>0</v>
      </c>
      <c r="N307" s="136"/>
      <c r="O307" s="135"/>
      <c r="Q307" s="137"/>
      <c r="T307" s="138"/>
    </row>
    <row r="308" spans="2:23" s="124" customFormat="1" ht="12.75" x14ac:dyDescent="0.2">
      <c r="B308" s="125"/>
      <c r="C308" s="126"/>
      <c r="D308" s="127"/>
      <c r="E308" s="885"/>
      <c r="F308" s="886"/>
      <c r="G308" s="114"/>
      <c r="H308" s="130"/>
      <c r="I308" s="131"/>
      <c r="J308" s="132"/>
      <c r="K308" s="133"/>
      <c r="L308" s="134"/>
      <c r="M308" s="498">
        <f>+L308*K308</f>
        <v>0</v>
      </c>
      <c r="N308" s="136"/>
      <c r="O308" s="135"/>
      <c r="Q308" s="137"/>
      <c r="T308" s="138"/>
    </row>
    <row r="309" spans="2:23" s="124" customFormat="1" ht="12.75" x14ac:dyDescent="0.2">
      <c r="B309" s="125"/>
      <c r="C309" s="126"/>
      <c r="D309" s="166"/>
      <c r="E309" s="885"/>
      <c r="F309" s="886"/>
      <c r="G309" s="114"/>
      <c r="H309" s="167"/>
      <c r="I309" s="168"/>
      <c r="J309" s="169"/>
      <c r="K309" s="170"/>
      <c r="L309" s="171"/>
      <c r="M309" s="498">
        <f>+L309*K309</f>
        <v>0</v>
      </c>
      <c r="N309" s="172"/>
      <c r="O309" s="186"/>
      <c r="Q309" s="137"/>
      <c r="T309" s="138"/>
    </row>
    <row r="310" spans="2:23" s="85" customFormat="1" ht="15" x14ac:dyDescent="0.2">
      <c r="B310" s="98"/>
      <c r="C310" s="99">
        <v>50</v>
      </c>
      <c r="D310" s="99" t="str">
        <f ca="1">OFFSET(Sprachen!A389,0,'START, DÉBUT, INIZIO'!$D$4-1,1,1)</f>
        <v>Sonstige Kosten</v>
      </c>
      <c r="E310" s="99"/>
      <c r="F310" s="100"/>
      <c r="G310" s="101"/>
      <c r="H310" s="102"/>
      <c r="I310" s="103"/>
      <c r="J310" s="104"/>
      <c r="K310" s="105"/>
      <c r="L310" s="106"/>
      <c r="M310" s="108">
        <f>+M311+M315+M319+M324+M329+M334</f>
        <v>0</v>
      </c>
      <c r="N310" s="108">
        <f>+N311+N315+N319+N324+N329+N334</f>
        <v>0</v>
      </c>
      <c r="O310" s="108">
        <f>+O311+O315+O319+O324+O329+O334</f>
        <v>0</v>
      </c>
      <c r="Q310" s="81">
        <f>+SUM(N310:O310)-M310</f>
        <v>0</v>
      </c>
      <c r="T310" s="97"/>
    </row>
    <row r="311" spans="2:23" x14ac:dyDescent="0.2">
      <c r="B311" s="109"/>
      <c r="C311" s="110"/>
      <c r="D311" s="111">
        <v>500</v>
      </c>
      <c r="E311" s="173" t="str">
        <f ca="1">OFFSET(Sprachen!A390,0,'START, DÉBUT, INIZIO'!$D$4-1,1,1)</f>
        <v>Produktionsausfälle</v>
      </c>
      <c r="F311" s="174"/>
      <c r="G311" s="189" t="s">
        <v>47</v>
      </c>
      <c r="H311" s="115"/>
      <c r="I311" s="176"/>
      <c r="J311" s="177"/>
      <c r="K311" s="178"/>
      <c r="L311" s="179"/>
      <c r="M311" s="149">
        <f>+SUMPRODUCT(K312:K314,L312:L314)</f>
        <v>0</v>
      </c>
      <c r="N311" s="121">
        <f>+SUM(N312:N314)</f>
        <v>0</v>
      </c>
      <c r="O311" s="149">
        <f>+SUM(O312:O314)</f>
        <v>0</v>
      </c>
      <c r="Q311" s="81">
        <f>+SUM(N311:O311)-M311</f>
        <v>0</v>
      </c>
      <c r="R311" s="81">
        <f>SUMPRODUCT(K312:K314,L312:L314)-SUM(M312:M314)</f>
        <v>0</v>
      </c>
      <c r="T311" s="25">
        <f>G311*N311</f>
        <v>0</v>
      </c>
      <c r="V311" s="122">
        <f>(((1+$V$10)^G311)*$V$10)/(((1+$V$10)^G311)-1)</f>
        <v>1.0427499999999985</v>
      </c>
      <c r="W311" s="123">
        <f>IFERROR(N311*V311,0)</f>
        <v>0</v>
      </c>
    </row>
    <row r="312" spans="2:23" s="124" customFormat="1" ht="12" hidden="1" customHeight="1" x14ac:dyDescent="0.2">
      <c r="B312" s="125"/>
      <c r="C312" s="126"/>
      <c r="D312" s="127"/>
      <c r="E312" s="180"/>
      <c r="F312" s="181"/>
      <c r="G312" s="159"/>
      <c r="H312" s="130"/>
      <c r="I312" s="131"/>
      <c r="J312" s="132"/>
      <c r="K312" s="133"/>
      <c r="L312" s="134"/>
      <c r="M312" s="499">
        <f>+L312*K312</f>
        <v>0</v>
      </c>
      <c r="N312" s="136"/>
      <c r="O312" s="135"/>
      <c r="Q312" s="137"/>
      <c r="T312" s="138"/>
    </row>
    <row r="313" spans="2:23" s="124" customFormat="1" ht="12.75" x14ac:dyDescent="0.2">
      <c r="B313" s="125"/>
      <c r="C313" s="126"/>
      <c r="D313" s="127"/>
      <c r="E313" s="885"/>
      <c r="F313" s="886"/>
      <c r="G313" s="114"/>
      <c r="H313" s="130"/>
      <c r="I313" s="131"/>
      <c r="J313" s="132"/>
      <c r="K313" s="133"/>
      <c r="L313" s="134"/>
      <c r="M313" s="498">
        <f>+L313*K313</f>
        <v>0</v>
      </c>
      <c r="N313" s="136"/>
      <c r="O313" s="135"/>
      <c r="Q313" s="137"/>
      <c r="T313" s="138"/>
    </row>
    <row r="314" spans="2:23" s="124" customFormat="1" ht="12.75" x14ac:dyDescent="0.2">
      <c r="B314" s="125"/>
      <c r="C314" s="126"/>
      <c r="D314" s="127"/>
      <c r="E314" s="885"/>
      <c r="F314" s="886"/>
      <c r="G314" s="114"/>
      <c r="H314" s="130"/>
      <c r="I314" s="131"/>
      <c r="J314" s="132"/>
      <c r="K314" s="133"/>
      <c r="L314" s="134"/>
      <c r="M314" s="498">
        <f>+L314*K314</f>
        <v>0</v>
      </c>
      <c r="N314" s="136"/>
      <c r="O314" s="135"/>
      <c r="Q314" s="137"/>
      <c r="T314" s="138"/>
    </row>
    <row r="315" spans="2:23" x14ac:dyDescent="0.2">
      <c r="B315" s="109"/>
      <c r="C315" s="110"/>
      <c r="D315" s="141">
        <v>501</v>
      </c>
      <c r="E315" s="52" t="str">
        <f ca="1">OFFSET(Sprachen!A391,0,'START, DÉBUT, INIZIO'!$D$4-1,1,1)</f>
        <v>Ersatzmassnahmen, Ausgleichsmassnahmen</v>
      </c>
      <c r="F315" s="53"/>
      <c r="G315" s="156" t="s">
        <v>43</v>
      </c>
      <c r="H315" s="144"/>
      <c r="I315" s="150"/>
      <c r="J315" s="151"/>
      <c r="K315" s="152"/>
      <c r="L315" s="153"/>
      <c r="M315" s="149">
        <f>+SUMPRODUCT(K316:K318,L316:L318)</f>
        <v>0</v>
      </c>
      <c r="N315" s="121">
        <f>+SUM(N316:N318)</f>
        <v>0</v>
      </c>
      <c r="O315" s="149">
        <f>+SUM(O316:O318)</f>
        <v>0</v>
      </c>
      <c r="Q315" s="81">
        <f>+SUM(N315:O315)-M315</f>
        <v>0</v>
      </c>
      <c r="R315" s="81">
        <f>SUMPRODUCT(K316:K318,L316:L318)-SUM(M316:M318)</f>
        <v>0</v>
      </c>
      <c r="T315" s="25">
        <f>G315*N315</f>
        <v>0</v>
      </c>
      <c r="V315" s="122">
        <f>(((1+$V$10)^G315)*$V$10)/(((1+$V$10)^G315)-1)</f>
        <v>4.4306137652275909E-2</v>
      </c>
      <c r="W315" s="123">
        <f>IFERROR(N315*V315,0)</f>
        <v>0</v>
      </c>
    </row>
    <row r="316" spans="2:23" s="124" customFormat="1" ht="12" hidden="1" customHeight="1" x14ac:dyDescent="0.2">
      <c r="B316" s="125"/>
      <c r="C316" s="126"/>
      <c r="D316" s="127"/>
      <c r="E316" s="180"/>
      <c r="F316" s="181"/>
      <c r="G316" s="159"/>
      <c r="H316" s="130"/>
      <c r="I316" s="131"/>
      <c r="J316" s="132"/>
      <c r="K316" s="133"/>
      <c r="L316" s="134"/>
      <c r="M316" s="499">
        <f>+L316*K316</f>
        <v>0</v>
      </c>
      <c r="N316" s="136"/>
      <c r="O316" s="135"/>
      <c r="Q316" s="137"/>
      <c r="T316" s="138"/>
    </row>
    <row r="317" spans="2:23" s="124" customFormat="1" ht="12.75" x14ac:dyDescent="0.2">
      <c r="B317" s="125"/>
      <c r="C317" s="126"/>
      <c r="D317" s="127"/>
      <c r="E317" s="885"/>
      <c r="F317" s="886"/>
      <c r="G317" s="114"/>
      <c r="H317" s="130"/>
      <c r="I317" s="131"/>
      <c r="J317" s="132"/>
      <c r="K317" s="133"/>
      <c r="L317" s="134"/>
      <c r="M317" s="498">
        <f>+L317*K317</f>
        <v>0</v>
      </c>
      <c r="N317" s="136"/>
      <c r="O317" s="135"/>
      <c r="Q317" s="137"/>
      <c r="T317" s="138"/>
    </row>
    <row r="318" spans="2:23" s="124" customFormat="1" ht="12.75" x14ac:dyDescent="0.2">
      <c r="B318" s="125"/>
      <c r="C318" s="126"/>
      <c r="D318" s="127"/>
      <c r="E318" s="885"/>
      <c r="F318" s="886"/>
      <c r="G318" s="114"/>
      <c r="H318" s="130"/>
      <c r="I318" s="131"/>
      <c r="J318" s="132"/>
      <c r="K318" s="133"/>
      <c r="L318" s="134"/>
      <c r="M318" s="498">
        <f>+L318*K318</f>
        <v>0</v>
      </c>
      <c r="N318" s="136"/>
      <c r="O318" s="135"/>
      <c r="Q318" s="137"/>
      <c r="T318" s="138"/>
    </row>
    <row r="319" spans="2:23" x14ac:dyDescent="0.2">
      <c r="B319" s="109"/>
      <c r="C319" s="110"/>
      <c r="D319" s="141">
        <v>502</v>
      </c>
      <c r="E319" s="52" t="str">
        <f ca="1">OFFSET(Sprachen!A392,0,'START, DÉBUT, INIZIO'!$D$4-1,1,1)</f>
        <v>Grundstücks- und Nebenkosten</v>
      </c>
      <c r="F319" s="53"/>
      <c r="G319" s="156" t="s">
        <v>48</v>
      </c>
      <c r="H319" s="144"/>
      <c r="I319" s="150"/>
      <c r="J319" s="151"/>
      <c r="K319" s="152"/>
      <c r="L319" s="153"/>
      <c r="M319" s="149">
        <f>+SUMPRODUCT(K320:K322,L320:L322)</f>
        <v>0</v>
      </c>
      <c r="N319" s="121">
        <f>+SUM(N320:N322)</f>
        <v>0</v>
      </c>
      <c r="O319" s="149">
        <f>+SUM(O320:O322)</f>
        <v>0</v>
      </c>
      <c r="Q319" s="81">
        <f>+SUM(N319:O319)-M319</f>
        <v>0</v>
      </c>
      <c r="R319" s="81">
        <f>SUMPRODUCT(K320:K322,L320:L322)-SUM(M320:M322)</f>
        <v>0</v>
      </c>
      <c r="T319" s="25">
        <f>G319*N319</f>
        <v>0</v>
      </c>
      <c r="V319" s="122" t="e">
        <f>(((1+$V$10)^G319)*$V$10)/(((1+$V$10)^G319)-1)</f>
        <v>#DIV/0!</v>
      </c>
      <c r="W319" s="123">
        <f>IFERROR(N319*V319,0)</f>
        <v>0</v>
      </c>
    </row>
    <row r="320" spans="2:23" s="124" customFormat="1" ht="12" hidden="1" customHeight="1" x14ac:dyDescent="0.2">
      <c r="B320" s="125"/>
      <c r="C320" s="126"/>
      <c r="D320" s="127"/>
      <c r="E320" s="180"/>
      <c r="F320" s="181"/>
      <c r="G320" s="159"/>
      <c r="H320" s="130"/>
      <c r="I320" s="131"/>
      <c r="J320" s="132"/>
      <c r="K320" s="133"/>
      <c r="L320" s="134"/>
      <c r="M320" s="499">
        <f>+L320*K320</f>
        <v>0</v>
      </c>
      <c r="N320" s="136"/>
      <c r="O320" s="135"/>
      <c r="Q320" s="137"/>
      <c r="T320" s="138"/>
    </row>
    <row r="321" spans="2:23" s="124" customFormat="1" ht="12.75" x14ac:dyDescent="0.2">
      <c r="B321" s="125"/>
      <c r="C321" s="126"/>
      <c r="D321" s="127"/>
      <c r="E321" s="885"/>
      <c r="F321" s="886"/>
      <c r="G321" s="114"/>
      <c r="H321" s="130"/>
      <c r="I321" s="131"/>
      <c r="J321" s="132"/>
      <c r="K321" s="133"/>
      <c r="L321" s="134"/>
      <c r="M321" s="498">
        <f>+L321*K321</f>
        <v>0</v>
      </c>
      <c r="N321" s="136"/>
      <c r="O321" s="135"/>
      <c r="Q321" s="137"/>
      <c r="T321" s="138"/>
    </row>
    <row r="322" spans="2:23" s="124" customFormat="1" ht="12.75" x14ac:dyDescent="0.2">
      <c r="B322" s="125"/>
      <c r="C322" s="126"/>
      <c r="D322" s="127"/>
      <c r="E322" s="885"/>
      <c r="F322" s="886"/>
      <c r="G322" s="114"/>
      <c r="H322" s="130"/>
      <c r="I322" s="131"/>
      <c r="J322" s="132"/>
      <c r="K322" s="133"/>
      <c r="L322" s="134"/>
      <c r="M322" s="498">
        <f>+L322*K322</f>
        <v>0</v>
      </c>
      <c r="N322" s="136"/>
      <c r="O322" s="135"/>
      <c r="Q322" s="137"/>
      <c r="T322" s="138"/>
    </row>
    <row r="323" spans="2:23" ht="4.9000000000000004" customHeight="1" x14ac:dyDescent="0.2">
      <c r="B323" s="109"/>
      <c r="C323" s="110"/>
      <c r="D323" s="160"/>
      <c r="E323" s="183"/>
      <c r="F323" s="184"/>
      <c r="G323" s="185"/>
      <c r="H323" s="161"/>
      <c r="I323" s="162"/>
      <c r="J323" s="163"/>
      <c r="K323" s="164"/>
      <c r="L323" s="165"/>
      <c r="M323" s="149"/>
      <c r="N323" s="121"/>
      <c r="O323" s="149"/>
      <c r="Q323" s="157"/>
    </row>
    <row r="324" spans="2:23" x14ac:dyDescent="0.2">
      <c r="B324" s="109"/>
      <c r="C324" s="110"/>
      <c r="D324" s="141">
        <v>503</v>
      </c>
      <c r="E324" s="885" t="s">
        <v>46</v>
      </c>
      <c r="F324" s="886"/>
      <c r="G324" s="158"/>
      <c r="H324" s="144"/>
      <c r="I324" s="145"/>
      <c r="J324" s="146"/>
      <c r="K324" s="147"/>
      <c r="L324" s="148"/>
      <c r="M324" s="149">
        <f>+SUMPRODUCT(K325:K327,L325:L327)</f>
        <v>0</v>
      </c>
      <c r="N324" s="121">
        <f>+SUM(N325:N327)</f>
        <v>0</v>
      </c>
      <c r="O324" s="149">
        <f>+SUM(O325:O327)</f>
        <v>0</v>
      </c>
      <c r="Q324" s="81">
        <f>+SUM(N324:O324)-M324</f>
        <v>0</v>
      </c>
      <c r="R324" s="81">
        <f>SUMPRODUCT(K325:K327,L325:L327)-SUM(M325:M327)</f>
        <v>0</v>
      </c>
      <c r="T324" s="25">
        <f>G324*N324</f>
        <v>0</v>
      </c>
      <c r="V324" s="122" t="e">
        <f>(((1+$V$10)^G324)*$V$10)/(((1+$V$10)^G324)-1)</f>
        <v>#DIV/0!</v>
      </c>
      <c r="W324" s="123">
        <f>IFERROR(N324*V324,0)</f>
        <v>0</v>
      </c>
    </row>
    <row r="325" spans="2:23" s="124" customFormat="1" ht="12" hidden="1" customHeight="1" x14ac:dyDescent="0.2">
      <c r="B325" s="125"/>
      <c r="C325" s="126"/>
      <c r="D325" s="127"/>
      <c r="E325" s="885"/>
      <c r="F325" s="886"/>
      <c r="G325" s="159"/>
      <c r="H325" s="130"/>
      <c r="I325" s="131"/>
      <c r="J325" s="132"/>
      <c r="K325" s="133"/>
      <c r="L325" s="134"/>
      <c r="M325" s="499">
        <f>+L325*K325</f>
        <v>0</v>
      </c>
      <c r="N325" s="136"/>
      <c r="O325" s="135"/>
      <c r="Q325" s="137"/>
      <c r="T325" s="138"/>
    </row>
    <row r="326" spans="2:23" s="124" customFormat="1" ht="12.75" x14ac:dyDescent="0.2">
      <c r="B326" s="125"/>
      <c r="C326" s="126"/>
      <c r="D326" s="127"/>
      <c r="E326" s="885"/>
      <c r="F326" s="886"/>
      <c r="G326" s="114"/>
      <c r="H326" s="130"/>
      <c r="I326" s="131"/>
      <c r="J326" s="132"/>
      <c r="K326" s="133"/>
      <c r="L326" s="134"/>
      <c r="M326" s="498">
        <f>+L326*K326</f>
        <v>0</v>
      </c>
      <c r="N326" s="136"/>
      <c r="O326" s="135"/>
      <c r="Q326" s="137"/>
      <c r="T326" s="138"/>
    </row>
    <row r="327" spans="2:23" s="124" customFormat="1" ht="12.75" x14ac:dyDescent="0.2">
      <c r="B327" s="125"/>
      <c r="C327" s="126"/>
      <c r="D327" s="127"/>
      <c r="E327" s="885"/>
      <c r="F327" s="886"/>
      <c r="G327" s="156"/>
      <c r="H327" s="130"/>
      <c r="I327" s="131"/>
      <c r="J327" s="132"/>
      <c r="K327" s="133"/>
      <c r="L327" s="134"/>
      <c r="M327" s="498">
        <f>+L327*K327</f>
        <v>0</v>
      </c>
      <c r="N327" s="136"/>
      <c r="O327" s="135"/>
      <c r="Q327" s="137"/>
      <c r="T327" s="138"/>
    </row>
    <row r="328" spans="2:23" ht="4.9000000000000004" customHeight="1" x14ac:dyDescent="0.2">
      <c r="B328" s="109"/>
      <c r="C328" s="110"/>
      <c r="D328" s="160"/>
      <c r="E328" s="183"/>
      <c r="F328" s="184"/>
      <c r="G328" s="156"/>
      <c r="H328" s="161"/>
      <c r="I328" s="162"/>
      <c r="J328" s="163"/>
      <c r="K328" s="164"/>
      <c r="L328" s="165"/>
      <c r="M328" s="149"/>
      <c r="N328" s="121"/>
      <c r="O328" s="149"/>
      <c r="Q328" s="157"/>
    </row>
    <row r="329" spans="2:23" x14ac:dyDescent="0.2">
      <c r="B329" s="109"/>
      <c r="C329" s="110"/>
      <c r="D329" s="141">
        <v>504</v>
      </c>
      <c r="E329" s="885" t="s">
        <v>46</v>
      </c>
      <c r="F329" s="886"/>
      <c r="G329" s="158"/>
      <c r="H329" s="144"/>
      <c r="I329" s="145"/>
      <c r="J329" s="146"/>
      <c r="K329" s="147"/>
      <c r="L329" s="148"/>
      <c r="M329" s="149">
        <f>+SUMPRODUCT(K330:K332,L330:L332)</f>
        <v>0</v>
      </c>
      <c r="N329" s="121">
        <f>+SUM(N330:N332)</f>
        <v>0</v>
      </c>
      <c r="O329" s="149">
        <f>+SUM(O330:O332)</f>
        <v>0</v>
      </c>
      <c r="Q329" s="81">
        <f>+SUM(N329:O329)-M329</f>
        <v>0</v>
      </c>
      <c r="R329" s="81">
        <f>SUMPRODUCT(K330:K332,L330:L332)-SUM(M330:M332)</f>
        <v>0</v>
      </c>
      <c r="T329" s="25">
        <f>G329*N329</f>
        <v>0</v>
      </c>
      <c r="V329" s="122" t="e">
        <f>(((1+$V$10)^G329)*$V$10)/(((1+$V$10)^G329)-1)</f>
        <v>#DIV/0!</v>
      </c>
      <c r="W329" s="123">
        <f>IFERROR(N329*V329,0)</f>
        <v>0</v>
      </c>
    </row>
    <row r="330" spans="2:23" s="124" customFormat="1" ht="12.75" hidden="1" customHeight="1" x14ac:dyDescent="0.2">
      <c r="B330" s="125"/>
      <c r="C330" s="126"/>
      <c r="D330" s="127"/>
      <c r="E330" s="885"/>
      <c r="F330" s="886"/>
      <c r="G330" s="156"/>
      <c r="H330" s="130"/>
      <c r="I330" s="131"/>
      <c r="J330" s="132"/>
      <c r="K330" s="133"/>
      <c r="L330" s="134"/>
      <c r="M330" s="499">
        <f>+L330*K330</f>
        <v>0</v>
      </c>
      <c r="N330" s="136"/>
      <c r="O330" s="135"/>
      <c r="Q330" s="137"/>
      <c r="T330" s="138"/>
    </row>
    <row r="331" spans="2:23" s="124" customFormat="1" ht="12.75" x14ac:dyDescent="0.2">
      <c r="B331" s="125"/>
      <c r="C331" s="126"/>
      <c r="D331" s="127"/>
      <c r="E331" s="885"/>
      <c r="F331" s="886"/>
      <c r="G331" s="156"/>
      <c r="H331" s="130"/>
      <c r="I331" s="131"/>
      <c r="J331" s="132"/>
      <c r="K331" s="133"/>
      <c r="L331" s="134"/>
      <c r="M331" s="498">
        <f>+L331*K331</f>
        <v>0</v>
      </c>
      <c r="N331" s="136"/>
      <c r="O331" s="135"/>
      <c r="Q331" s="137"/>
      <c r="T331" s="138"/>
    </row>
    <row r="332" spans="2:23" s="124" customFormat="1" ht="12.75" x14ac:dyDescent="0.2">
      <c r="B332" s="125"/>
      <c r="C332" s="126"/>
      <c r="D332" s="127"/>
      <c r="E332" s="885"/>
      <c r="F332" s="886"/>
      <c r="G332" s="156"/>
      <c r="H332" s="130"/>
      <c r="I332" s="131"/>
      <c r="J332" s="132"/>
      <c r="K332" s="133"/>
      <c r="L332" s="134"/>
      <c r="M332" s="498">
        <f>+L332*K332</f>
        <v>0</v>
      </c>
      <c r="N332" s="136"/>
      <c r="O332" s="135"/>
      <c r="Q332" s="137"/>
      <c r="T332" s="138"/>
    </row>
    <row r="333" spans="2:23" ht="4.9000000000000004" customHeight="1" x14ac:dyDescent="0.2">
      <c r="B333" s="109"/>
      <c r="C333" s="110"/>
      <c r="D333" s="160"/>
      <c r="E333" s="183"/>
      <c r="F333" s="184"/>
      <c r="G333" s="156"/>
      <c r="H333" s="161"/>
      <c r="I333" s="162"/>
      <c r="J333" s="163"/>
      <c r="K333" s="164"/>
      <c r="L333" s="165"/>
      <c r="M333" s="149"/>
      <c r="N333" s="121"/>
      <c r="O333" s="149"/>
      <c r="Q333" s="157"/>
    </row>
    <row r="334" spans="2:23" x14ac:dyDescent="0.2">
      <c r="B334" s="109"/>
      <c r="C334" s="110"/>
      <c r="D334" s="141">
        <v>505</v>
      </c>
      <c r="E334" s="885" t="s">
        <v>46</v>
      </c>
      <c r="F334" s="886"/>
      <c r="G334" s="158"/>
      <c r="H334" s="144"/>
      <c r="I334" s="145"/>
      <c r="J334" s="146"/>
      <c r="K334" s="147"/>
      <c r="L334" s="148"/>
      <c r="M334" s="149">
        <f>+SUMPRODUCT(K335:K337,L335:L337)</f>
        <v>0</v>
      </c>
      <c r="N334" s="121">
        <f>+SUM(N335:N337)</f>
        <v>0</v>
      </c>
      <c r="O334" s="149">
        <f>+SUM(O335:O337)</f>
        <v>0</v>
      </c>
      <c r="Q334" s="81">
        <f>+SUM(N334:O334)-M334</f>
        <v>0</v>
      </c>
      <c r="R334" s="81">
        <f>SUMPRODUCT(K335:K337,L335:L337)-SUM(M335:M337)</f>
        <v>0</v>
      </c>
      <c r="T334" s="25">
        <f>G334*N334</f>
        <v>0</v>
      </c>
      <c r="V334" s="122" t="e">
        <f>(((1+$V$10)^G334)*$V$10)/(((1+$V$10)^G334)-1)</f>
        <v>#DIV/0!</v>
      </c>
      <c r="W334" s="123">
        <f>IFERROR(N334*V334,0)</f>
        <v>0</v>
      </c>
    </row>
    <row r="335" spans="2:23" s="124" customFormat="1" ht="12.75" hidden="1" customHeight="1" x14ac:dyDescent="0.2">
      <c r="B335" s="125"/>
      <c r="C335" s="126"/>
      <c r="D335" s="127"/>
      <c r="E335" s="885"/>
      <c r="F335" s="886"/>
      <c r="G335" s="156"/>
      <c r="H335" s="130"/>
      <c r="I335" s="131"/>
      <c r="J335" s="132"/>
      <c r="K335" s="133"/>
      <c r="L335" s="134"/>
      <c r="M335" s="499">
        <f>+L335*K335</f>
        <v>0</v>
      </c>
      <c r="N335" s="136"/>
      <c r="O335" s="135"/>
      <c r="Q335" s="137"/>
      <c r="T335" s="138"/>
    </row>
    <row r="336" spans="2:23" s="124" customFormat="1" ht="12.75" x14ac:dyDescent="0.2">
      <c r="B336" s="125"/>
      <c r="C336" s="126"/>
      <c r="D336" s="127"/>
      <c r="E336" s="885"/>
      <c r="F336" s="886"/>
      <c r="G336" s="156"/>
      <c r="H336" s="130"/>
      <c r="I336" s="131"/>
      <c r="J336" s="132"/>
      <c r="K336" s="133"/>
      <c r="L336" s="134"/>
      <c r="M336" s="498">
        <f>+L336*K336</f>
        <v>0</v>
      </c>
      <c r="N336" s="136"/>
      <c r="O336" s="135"/>
      <c r="Q336" s="137"/>
      <c r="T336" s="138"/>
    </row>
    <row r="337" spans="2:23" s="124" customFormat="1" ht="12.75" x14ac:dyDescent="0.2">
      <c r="B337" s="125"/>
      <c r="C337" s="126"/>
      <c r="D337" s="166"/>
      <c r="E337" s="885"/>
      <c r="F337" s="886"/>
      <c r="G337" s="156"/>
      <c r="H337" s="167"/>
      <c r="I337" s="168"/>
      <c r="J337" s="169"/>
      <c r="K337" s="170"/>
      <c r="L337" s="171"/>
      <c r="M337" s="498">
        <f>+L337*K337</f>
        <v>0</v>
      </c>
      <c r="N337" s="172"/>
      <c r="O337" s="186"/>
      <c r="Q337" s="137"/>
      <c r="T337" s="138"/>
    </row>
    <row r="338" spans="2:23" s="85" customFormat="1" ht="15" x14ac:dyDescent="0.2">
      <c r="B338" s="190">
        <v>0</v>
      </c>
      <c r="C338" s="191" t="str">
        <f ca="1">OFFSET(Sprachen!A393,0,'START, DÉBUT, INIZIO'!$D$4-1,1,1)</f>
        <v>Planungs- und Bauleitungskosten</v>
      </c>
      <c r="D338" s="191"/>
      <c r="E338" s="191"/>
      <c r="F338" s="192"/>
      <c r="G338" s="193"/>
      <c r="H338" s="194"/>
      <c r="I338" s="195"/>
      <c r="J338" s="196"/>
      <c r="K338" s="197"/>
      <c r="L338" s="198"/>
      <c r="M338" s="500">
        <f>+M339</f>
        <v>0</v>
      </c>
      <c r="N338" s="199">
        <f>+N339</f>
        <v>0</v>
      </c>
      <c r="O338" s="199">
        <f>+O339</f>
        <v>0</v>
      </c>
      <c r="Q338" s="81">
        <f>+SUM(N338:O338)-M338</f>
        <v>0</v>
      </c>
      <c r="R338" s="200">
        <f>+(N338/(N14+0.0000001))</f>
        <v>0</v>
      </c>
      <c r="S338" s="124" t="str">
        <f ca="1">OFFSET(Sprachen!A399,0,'START, DÉBUT, INIZIO'!$D$4-1,1,1)</f>
        <v>Anteil Planungs- und Bauleitungskosten</v>
      </c>
      <c r="T338" s="97"/>
    </row>
    <row r="339" spans="2:23" s="85" customFormat="1" ht="15" x14ac:dyDescent="0.2">
      <c r="B339" s="98"/>
      <c r="C339" s="201" t="s">
        <v>49</v>
      </c>
      <c r="D339" s="99" t="str">
        <f ca="1">OFFSET(Sprachen!A394,0,'START, DÉBUT, INIZIO'!$D$4-1,1,1)</f>
        <v>Planungs- und Bauleitungskosten</v>
      </c>
      <c r="E339" s="99"/>
      <c r="F339" s="100"/>
      <c r="G339" s="101"/>
      <c r="H339" s="102"/>
      <c r="I339" s="103"/>
      <c r="J339" s="104"/>
      <c r="K339" s="105"/>
      <c r="L339" s="106"/>
      <c r="M339" s="108">
        <f>+M340+M344+M349+M354+M359</f>
        <v>0</v>
      </c>
      <c r="N339" s="108">
        <f>+N340+N344+N349+N354+N359</f>
        <v>0</v>
      </c>
      <c r="O339" s="108">
        <f>+O340+O344+O349+O354+O359</f>
        <v>0</v>
      </c>
      <c r="Q339" s="81">
        <f>+SUM(N339:O339)-M339</f>
        <v>0</v>
      </c>
      <c r="T339" s="97"/>
    </row>
    <row r="340" spans="2:23" x14ac:dyDescent="0.2">
      <c r="B340" s="202"/>
      <c r="C340" s="203"/>
      <c r="D340" s="204" t="s">
        <v>50</v>
      </c>
      <c r="E340" s="173" t="str">
        <f ca="1">OFFSET(Sprachen!A395,0,'START, DÉBUT, INIZIO'!$D$4-1,1,1)</f>
        <v>Planungskosten</v>
      </c>
      <c r="F340" s="174"/>
      <c r="G340" s="156" t="s">
        <v>44</v>
      </c>
      <c r="H340" s="115"/>
      <c r="I340" s="176"/>
      <c r="J340" s="177"/>
      <c r="K340" s="178"/>
      <c r="L340" s="179"/>
      <c r="M340" s="149">
        <f>+SUMPRODUCT(K341:K343,L341:L343)</f>
        <v>0</v>
      </c>
      <c r="N340" s="121">
        <f>+SUM(N341:N343)</f>
        <v>0</v>
      </c>
      <c r="O340" s="149">
        <f>+SUM(O341:O343)</f>
        <v>0</v>
      </c>
      <c r="Q340" s="81">
        <f>+SUM(N340:O340)-M340</f>
        <v>0</v>
      </c>
      <c r="R340" s="81">
        <f>SUMPRODUCT(K341:K343,L341:L343)-SUM(M341:M343)</f>
        <v>0</v>
      </c>
      <c r="T340" s="25">
        <f>G340*N340</f>
        <v>0</v>
      </c>
      <c r="V340" s="122">
        <f>(((1+$V$10)^G340)*$V$10)/(((1+$V$10)^G340)-1)</f>
        <v>5.2609537499785704E-2</v>
      </c>
      <c r="W340" s="123">
        <f>IFERROR(N340*V340,0)</f>
        <v>0</v>
      </c>
    </row>
    <row r="341" spans="2:23" s="124" customFormat="1" ht="12.75" hidden="1" customHeight="1" x14ac:dyDescent="0.2">
      <c r="B341" s="125"/>
      <c r="C341" s="205"/>
      <c r="D341" s="127"/>
      <c r="E341" s="180"/>
      <c r="F341" s="181"/>
      <c r="G341" s="156"/>
      <c r="H341" s="130"/>
      <c r="I341" s="131"/>
      <c r="J341" s="132"/>
      <c r="K341" s="133"/>
      <c r="L341" s="134"/>
      <c r="M341" s="499">
        <f>+L341*K341</f>
        <v>0</v>
      </c>
      <c r="N341" s="136"/>
      <c r="O341" s="135"/>
      <c r="Q341" s="137"/>
      <c r="R341" s="81"/>
      <c r="T341" s="138"/>
    </row>
    <row r="342" spans="2:23" s="124" customFormat="1" ht="12.75" x14ac:dyDescent="0.2">
      <c r="B342" s="125"/>
      <c r="C342" s="205"/>
      <c r="D342" s="127"/>
      <c r="E342" s="885"/>
      <c r="F342" s="886"/>
      <c r="G342" s="156"/>
      <c r="H342" s="130"/>
      <c r="I342" s="131"/>
      <c r="J342" s="132"/>
      <c r="K342" s="133"/>
      <c r="L342" s="134"/>
      <c r="M342" s="498">
        <f>+L342*K342</f>
        <v>0</v>
      </c>
      <c r="N342" s="136"/>
      <c r="O342" s="135"/>
      <c r="Q342" s="137"/>
      <c r="T342" s="138"/>
    </row>
    <row r="343" spans="2:23" s="124" customFormat="1" ht="12.75" x14ac:dyDescent="0.2">
      <c r="B343" s="125"/>
      <c r="C343" s="205"/>
      <c r="D343" s="127"/>
      <c r="E343" s="885"/>
      <c r="F343" s="886"/>
      <c r="G343" s="156"/>
      <c r="H343" s="130"/>
      <c r="I343" s="131"/>
      <c r="J343" s="132"/>
      <c r="K343" s="133"/>
      <c r="L343" s="134"/>
      <c r="M343" s="498">
        <f>+L343*K343</f>
        <v>0</v>
      </c>
      <c r="N343" s="136"/>
      <c r="O343" s="135"/>
      <c r="Q343" s="137"/>
      <c r="T343" s="138"/>
    </row>
    <row r="344" spans="2:23" x14ac:dyDescent="0.2">
      <c r="B344" s="109"/>
      <c r="C344" s="206"/>
      <c r="D344" s="207" t="s">
        <v>51</v>
      </c>
      <c r="E344" s="52" t="str">
        <f ca="1">OFFSET(Sprachen!A396,0,'START, DÉBUT, INIZIO'!$D$4-1,1,1)</f>
        <v>Bauleitungskosten</v>
      </c>
      <c r="F344" s="53"/>
      <c r="G344" s="156" t="s">
        <v>44</v>
      </c>
      <c r="H344" s="144"/>
      <c r="I344" s="150"/>
      <c r="J344" s="151"/>
      <c r="K344" s="152"/>
      <c r="L344" s="153"/>
      <c r="M344" s="149">
        <f>+SUMPRODUCT(K345:K347,L345:L347)</f>
        <v>0</v>
      </c>
      <c r="N344" s="121">
        <f>+SUM(N345:N347)</f>
        <v>0</v>
      </c>
      <c r="O344" s="149">
        <f>+SUM(O345:O347)</f>
        <v>0</v>
      </c>
      <c r="Q344" s="81">
        <f>+SUM(N344:O344)-M344</f>
        <v>0</v>
      </c>
      <c r="R344" s="81">
        <f>SUMPRODUCT(K345:K347,L345:L347)-SUM(M345:M347)</f>
        <v>0</v>
      </c>
      <c r="T344" s="25">
        <f>G344*N344</f>
        <v>0</v>
      </c>
      <c r="V344" s="122">
        <f>(((1+$V$10)^G344)*$V$10)/(((1+$V$10)^G344)-1)</f>
        <v>5.2609537499785704E-2</v>
      </c>
      <c r="W344" s="123">
        <f>IFERROR(N344*V344,0)</f>
        <v>0</v>
      </c>
    </row>
    <row r="345" spans="2:23" s="124" customFormat="1" ht="12.75" hidden="1" customHeight="1" x14ac:dyDescent="0.2">
      <c r="B345" s="125"/>
      <c r="C345" s="205"/>
      <c r="D345" s="127"/>
      <c r="E345" s="180"/>
      <c r="F345" s="181"/>
      <c r="G345" s="156"/>
      <c r="H345" s="130"/>
      <c r="I345" s="131"/>
      <c r="J345" s="132"/>
      <c r="K345" s="133"/>
      <c r="L345" s="134"/>
      <c r="M345" s="499">
        <f>+L345*K345</f>
        <v>0</v>
      </c>
      <c r="N345" s="136"/>
      <c r="O345" s="135"/>
      <c r="Q345" s="137"/>
      <c r="T345" s="138"/>
    </row>
    <row r="346" spans="2:23" s="124" customFormat="1" ht="12.75" x14ac:dyDescent="0.2">
      <c r="B346" s="125"/>
      <c r="C346" s="205"/>
      <c r="D346" s="127"/>
      <c r="E346" s="885"/>
      <c r="F346" s="886"/>
      <c r="G346" s="156"/>
      <c r="H346" s="130"/>
      <c r="I346" s="131"/>
      <c r="J346" s="132"/>
      <c r="K346" s="133"/>
      <c r="L346" s="134"/>
      <c r="M346" s="498">
        <f>+L346*K346</f>
        <v>0</v>
      </c>
      <c r="N346" s="136"/>
      <c r="O346" s="135"/>
      <c r="Q346" s="137"/>
      <c r="T346" s="138"/>
    </row>
    <row r="347" spans="2:23" s="124" customFormat="1" ht="12.75" x14ac:dyDescent="0.2">
      <c r="B347" s="125"/>
      <c r="C347" s="205"/>
      <c r="D347" s="127"/>
      <c r="E347" s="885"/>
      <c r="F347" s="886"/>
      <c r="G347" s="156"/>
      <c r="H347" s="130"/>
      <c r="I347" s="131"/>
      <c r="J347" s="132"/>
      <c r="K347" s="133"/>
      <c r="L347" s="134"/>
      <c r="M347" s="498">
        <f>+L347*K347</f>
        <v>0</v>
      </c>
      <c r="N347" s="136"/>
      <c r="O347" s="135"/>
      <c r="Q347" s="137"/>
      <c r="T347" s="138"/>
    </row>
    <row r="348" spans="2:23" ht="4.9000000000000004" customHeight="1" x14ac:dyDescent="0.2">
      <c r="B348" s="109"/>
      <c r="C348" s="110"/>
      <c r="D348" s="160"/>
      <c r="E348" s="183"/>
      <c r="F348" s="184"/>
      <c r="G348" s="185"/>
      <c r="H348" s="161"/>
      <c r="I348" s="162"/>
      <c r="J348" s="163"/>
      <c r="K348" s="164"/>
      <c r="L348" s="165"/>
      <c r="M348" s="149"/>
      <c r="N348" s="121"/>
      <c r="O348" s="149"/>
      <c r="Q348" s="157"/>
    </row>
    <row r="349" spans="2:23" x14ac:dyDescent="0.2">
      <c r="B349" s="109"/>
      <c r="C349" s="206"/>
      <c r="D349" s="208" t="s">
        <v>52</v>
      </c>
      <c r="E349" s="885" t="s">
        <v>46</v>
      </c>
      <c r="F349" s="886"/>
      <c r="G349" s="159"/>
      <c r="H349" s="144"/>
      <c r="I349" s="145"/>
      <c r="J349" s="146"/>
      <c r="K349" s="147"/>
      <c r="L349" s="148"/>
      <c r="M349" s="149">
        <f>+SUMPRODUCT(K350:K352,L350:L352)</f>
        <v>0</v>
      </c>
      <c r="N349" s="121">
        <f>+SUM(N350:N352)</f>
        <v>0</v>
      </c>
      <c r="O349" s="149">
        <f>+SUM(O350:O352)</f>
        <v>0</v>
      </c>
      <c r="Q349" s="81">
        <f>+SUM(N349:O349)-M349</f>
        <v>0</v>
      </c>
      <c r="R349" s="81">
        <f>SUMPRODUCT(K350:K352,L350:L352)-SUM(M350:M352)</f>
        <v>0</v>
      </c>
      <c r="T349" s="25">
        <f>G349*N349</f>
        <v>0</v>
      </c>
      <c r="V349" s="122" t="e">
        <f>(((1+$V$10)^G349)*$V$10)/(((1+$V$10)^G349)-1)</f>
        <v>#DIV/0!</v>
      </c>
      <c r="W349" s="123">
        <f>IFERROR(N349*V349,0)</f>
        <v>0</v>
      </c>
    </row>
    <row r="350" spans="2:23" s="124" customFormat="1" ht="12" hidden="1" customHeight="1" x14ac:dyDescent="0.2">
      <c r="B350" s="125"/>
      <c r="C350" s="205"/>
      <c r="D350" s="127"/>
      <c r="E350" s="885"/>
      <c r="F350" s="886"/>
      <c r="G350" s="159"/>
      <c r="H350" s="130"/>
      <c r="I350" s="131"/>
      <c r="J350" s="132"/>
      <c r="K350" s="133"/>
      <c r="L350" s="134"/>
      <c r="M350" s="499">
        <f>+L350*K350</f>
        <v>0</v>
      </c>
      <c r="N350" s="136"/>
      <c r="O350" s="135"/>
      <c r="Q350" s="137"/>
      <c r="T350" s="138"/>
    </row>
    <row r="351" spans="2:23" s="124" customFormat="1" ht="12.75" x14ac:dyDescent="0.2">
      <c r="B351" s="125"/>
      <c r="C351" s="205"/>
      <c r="D351" s="127"/>
      <c r="E351" s="885"/>
      <c r="F351" s="886"/>
      <c r="G351" s="156"/>
      <c r="H351" s="130"/>
      <c r="I351" s="131"/>
      <c r="J351" s="132"/>
      <c r="K351" s="133"/>
      <c r="L351" s="134"/>
      <c r="M351" s="498">
        <f>+L351*K351</f>
        <v>0</v>
      </c>
      <c r="N351" s="136"/>
      <c r="O351" s="135"/>
      <c r="Q351" s="137"/>
      <c r="T351" s="138"/>
    </row>
    <row r="352" spans="2:23" s="124" customFormat="1" ht="12.75" x14ac:dyDescent="0.2">
      <c r="B352" s="125"/>
      <c r="C352" s="205"/>
      <c r="D352" s="127"/>
      <c r="E352" s="885"/>
      <c r="F352" s="886"/>
      <c r="G352" s="156"/>
      <c r="H352" s="130"/>
      <c r="I352" s="131"/>
      <c r="J352" s="132"/>
      <c r="K352" s="133"/>
      <c r="L352" s="134"/>
      <c r="M352" s="498">
        <f>+L352*K352</f>
        <v>0</v>
      </c>
      <c r="N352" s="136"/>
      <c r="O352" s="135"/>
      <c r="Q352" s="137"/>
      <c r="T352" s="138"/>
    </row>
    <row r="353" spans="2:23" ht="4.9000000000000004" customHeight="1" x14ac:dyDescent="0.2">
      <c r="B353" s="109"/>
      <c r="C353" s="110"/>
      <c r="D353" s="160"/>
      <c r="E353" s="183"/>
      <c r="F353" s="184"/>
      <c r="G353" s="185"/>
      <c r="H353" s="161"/>
      <c r="I353" s="162"/>
      <c r="J353" s="163"/>
      <c r="K353" s="164"/>
      <c r="L353" s="165"/>
      <c r="M353" s="149"/>
      <c r="N353" s="121"/>
      <c r="O353" s="149"/>
      <c r="Q353" s="157"/>
    </row>
    <row r="354" spans="2:23" x14ac:dyDescent="0.2">
      <c r="B354" s="109"/>
      <c r="C354" s="206"/>
      <c r="D354" s="208" t="s">
        <v>53</v>
      </c>
      <c r="E354" s="885" t="s">
        <v>46</v>
      </c>
      <c r="F354" s="886"/>
      <c r="G354" s="159"/>
      <c r="H354" s="144"/>
      <c r="I354" s="145"/>
      <c r="J354" s="146"/>
      <c r="K354" s="147"/>
      <c r="L354" s="148"/>
      <c r="M354" s="149">
        <f>+SUMPRODUCT(K355:K357,L355:L357)</f>
        <v>0</v>
      </c>
      <c r="N354" s="121">
        <f>+SUM(N355:N357)</f>
        <v>0</v>
      </c>
      <c r="O354" s="149">
        <f>+SUM(O355:O357)</f>
        <v>0</v>
      </c>
      <c r="Q354" s="81">
        <f>+SUM(N354:O354)-M354</f>
        <v>0</v>
      </c>
      <c r="R354" s="81">
        <f>SUMPRODUCT(K355:K357,L355:L357)-SUM(M355:M357)</f>
        <v>0</v>
      </c>
      <c r="T354" s="25">
        <f>G354*N354</f>
        <v>0</v>
      </c>
      <c r="V354" s="122" t="e">
        <f>(((1+$V$10)^G354)*$V$10)/(((1+$V$10)^G354)-1)</f>
        <v>#DIV/0!</v>
      </c>
      <c r="W354" s="123">
        <f>IFERROR(N354*V354,0)</f>
        <v>0</v>
      </c>
    </row>
    <row r="355" spans="2:23" s="124" customFormat="1" ht="12" hidden="1" customHeight="1" x14ac:dyDescent="0.2">
      <c r="B355" s="125"/>
      <c r="C355" s="205"/>
      <c r="D355" s="127"/>
      <c r="E355" s="885"/>
      <c r="F355" s="886"/>
      <c r="G355" s="159"/>
      <c r="H355" s="130"/>
      <c r="I355" s="131"/>
      <c r="J355" s="132"/>
      <c r="K355" s="133"/>
      <c r="L355" s="134"/>
      <c r="M355" s="499">
        <f>+L355*K355</f>
        <v>0</v>
      </c>
      <c r="N355" s="136"/>
      <c r="O355" s="135"/>
      <c r="Q355" s="137"/>
      <c r="T355" s="138"/>
    </row>
    <row r="356" spans="2:23" s="124" customFormat="1" ht="12.75" x14ac:dyDescent="0.2">
      <c r="B356" s="125"/>
      <c r="C356" s="205"/>
      <c r="D356" s="127"/>
      <c r="E356" s="885"/>
      <c r="F356" s="886"/>
      <c r="G356" s="156"/>
      <c r="H356" s="130"/>
      <c r="I356" s="131"/>
      <c r="J356" s="132"/>
      <c r="K356" s="133"/>
      <c r="L356" s="134"/>
      <c r="M356" s="498">
        <f>+L356*K356</f>
        <v>0</v>
      </c>
      <c r="N356" s="136"/>
      <c r="O356" s="135"/>
      <c r="Q356" s="137"/>
      <c r="T356" s="138"/>
    </row>
    <row r="357" spans="2:23" s="124" customFormat="1" ht="12.75" x14ac:dyDescent="0.2">
      <c r="B357" s="125"/>
      <c r="C357" s="205"/>
      <c r="D357" s="127"/>
      <c r="E357" s="885"/>
      <c r="F357" s="886"/>
      <c r="G357" s="156"/>
      <c r="H357" s="130"/>
      <c r="I357" s="131"/>
      <c r="J357" s="132"/>
      <c r="K357" s="133"/>
      <c r="L357" s="134"/>
      <c r="M357" s="498">
        <f>+L357*K357</f>
        <v>0</v>
      </c>
      <c r="N357" s="136"/>
      <c r="O357" s="135"/>
      <c r="Q357" s="137"/>
      <c r="T357" s="138"/>
    </row>
    <row r="358" spans="2:23" ht="4.9000000000000004" customHeight="1" x14ac:dyDescent="0.2">
      <c r="B358" s="109"/>
      <c r="C358" s="110"/>
      <c r="D358" s="160"/>
      <c r="E358" s="183"/>
      <c r="F358" s="184"/>
      <c r="G358" s="185"/>
      <c r="H358" s="161"/>
      <c r="I358" s="162"/>
      <c r="J358" s="163"/>
      <c r="K358" s="164"/>
      <c r="L358" s="165"/>
      <c r="M358" s="149"/>
      <c r="N358" s="121"/>
      <c r="O358" s="149"/>
      <c r="Q358" s="157"/>
    </row>
    <row r="359" spans="2:23" x14ac:dyDescent="0.2">
      <c r="B359" s="209"/>
      <c r="C359" s="210"/>
      <c r="D359" s="208" t="s">
        <v>54</v>
      </c>
      <c r="E359" s="885" t="s">
        <v>46</v>
      </c>
      <c r="F359" s="886"/>
      <c r="G359" s="159"/>
      <c r="H359" s="144"/>
      <c r="I359" s="145"/>
      <c r="J359" s="146"/>
      <c r="K359" s="147"/>
      <c r="L359" s="148"/>
      <c r="M359" s="149">
        <f>+SUMPRODUCT(K360:K362,L360:L362)</f>
        <v>0</v>
      </c>
      <c r="N359" s="121">
        <f>+SUM(N360:N362)</f>
        <v>0</v>
      </c>
      <c r="O359" s="149">
        <f>+SUM(O360:O362)</f>
        <v>0</v>
      </c>
      <c r="Q359" s="81">
        <f>+SUM(N359:O359)-M359</f>
        <v>0</v>
      </c>
      <c r="R359" s="81">
        <f>SUMPRODUCT(K360:K362,L360:L362)-SUM(M360:M362)</f>
        <v>0</v>
      </c>
      <c r="T359" s="25">
        <f>G359*N359</f>
        <v>0</v>
      </c>
      <c r="V359" s="122" t="e">
        <f>(((1+$V$10)^G359)*$V$10)/(((1+$V$10)^G359)-1)</f>
        <v>#DIV/0!</v>
      </c>
      <c r="W359" s="123">
        <f>IFERROR(N359*V359,0)</f>
        <v>0</v>
      </c>
    </row>
    <row r="360" spans="2:23" s="124" customFormat="1" ht="12" hidden="1" customHeight="1" x14ac:dyDescent="0.2">
      <c r="B360" s="125"/>
      <c r="C360" s="205"/>
      <c r="D360" s="127"/>
      <c r="E360" s="885"/>
      <c r="F360" s="886"/>
      <c r="G360" s="159"/>
      <c r="H360" s="130"/>
      <c r="I360" s="131"/>
      <c r="J360" s="132"/>
      <c r="K360" s="133"/>
      <c r="L360" s="134"/>
      <c r="M360" s="499">
        <f>+L360*K360</f>
        <v>0</v>
      </c>
      <c r="N360" s="136"/>
      <c r="O360" s="135"/>
      <c r="Q360" s="137"/>
      <c r="T360" s="138"/>
    </row>
    <row r="361" spans="2:23" s="124" customFormat="1" ht="12.75" x14ac:dyDescent="0.2">
      <c r="B361" s="125"/>
      <c r="C361" s="205"/>
      <c r="D361" s="127"/>
      <c r="E361" s="885"/>
      <c r="F361" s="886"/>
      <c r="G361" s="156"/>
      <c r="H361" s="130"/>
      <c r="I361" s="131"/>
      <c r="J361" s="132"/>
      <c r="K361" s="133"/>
      <c r="L361" s="134"/>
      <c r="M361" s="498">
        <f>+L361*K361</f>
        <v>0</v>
      </c>
      <c r="N361" s="136"/>
      <c r="O361" s="135"/>
      <c r="Q361" s="137"/>
      <c r="T361" s="138"/>
    </row>
    <row r="362" spans="2:23" s="124" customFormat="1" ht="12.75" x14ac:dyDescent="0.2">
      <c r="B362" s="125"/>
      <c r="C362" s="205"/>
      <c r="D362" s="211"/>
      <c r="E362" s="885"/>
      <c r="F362" s="886"/>
      <c r="G362" s="156"/>
      <c r="H362" s="212"/>
      <c r="I362" s="213"/>
      <c r="J362" s="214"/>
      <c r="K362" s="215"/>
      <c r="L362" s="216"/>
      <c r="M362" s="498">
        <f>+L362*K362</f>
        <v>0</v>
      </c>
      <c r="N362" s="217"/>
      <c r="O362" s="218"/>
      <c r="Q362" s="137"/>
      <c r="T362" s="138"/>
    </row>
    <row r="363" spans="2:23" ht="4.9000000000000004" customHeight="1" x14ac:dyDescent="0.2">
      <c r="B363" s="219"/>
      <c r="C363" s="220"/>
      <c r="D363" s="221"/>
      <c r="E363" s="898"/>
      <c r="F363" s="899"/>
      <c r="G363" s="222"/>
      <c r="H363" s="223"/>
      <c r="I363" s="224"/>
      <c r="J363" s="225"/>
      <c r="K363" s="226"/>
      <c r="L363" s="227"/>
      <c r="M363" s="228"/>
      <c r="N363" s="229"/>
      <c r="O363" s="228"/>
      <c r="Q363" s="157"/>
    </row>
    <row r="364" spans="2:23" s="85" customFormat="1" ht="15" x14ac:dyDescent="0.2">
      <c r="B364" s="86" t="str">
        <f ca="1">OFFSET(Sprachen!A397,0,'START, DÉBUT, INIZIO'!$D$4-1,1,1)</f>
        <v>U</v>
      </c>
      <c r="C364" s="87" t="str">
        <f ca="1">OFFSET(Sprachen!A398,0,'START, DÉBUT, INIZIO'!$D$4-1,1,1)</f>
        <v>Unvorhergesehenes und Reserven</v>
      </c>
      <c r="D364" s="87"/>
      <c r="E364" s="87"/>
      <c r="F364" s="88"/>
      <c r="G364" s="89"/>
      <c r="H364" s="90"/>
      <c r="I364" s="91"/>
      <c r="J364" s="92"/>
      <c r="K364" s="93"/>
      <c r="L364" s="94"/>
      <c r="M364" s="95">
        <f>+O364</f>
        <v>0</v>
      </c>
      <c r="N364" s="96"/>
      <c r="O364" s="230"/>
      <c r="T364" s="97"/>
    </row>
    <row r="365" spans="2:23" x14ac:dyDescent="0.2">
      <c r="B365" s="18"/>
      <c r="C365" s="18"/>
      <c r="D365" s="18"/>
      <c r="E365" s="18"/>
      <c r="F365" s="18"/>
      <c r="G365" s="18"/>
      <c r="H365" s="18"/>
      <c r="I365" s="18"/>
      <c r="J365" s="55"/>
      <c r="L365" s="231"/>
      <c r="M365" s="18"/>
      <c r="N365" s="18"/>
      <c r="O365" s="18"/>
      <c r="Q365" s="157"/>
    </row>
    <row r="366" spans="2:23" x14ac:dyDescent="0.2">
      <c r="B366" s="18"/>
      <c r="C366" s="18"/>
      <c r="D366" s="18"/>
      <c r="E366" s="18"/>
      <c r="F366" s="18"/>
      <c r="G366" s="18"/>
      <c r="H366" s="18"/>
      <c r="I366" s="18"/>
      <c r="J366" s="55"/>
      <c r="L366" s="231"/>
      <c r="M366" s="18"/>
      <c r="N366" s="18"/>
      <c r="O366" s="18"/>
      <c r="Q366" s="18"/>
      <c r="T366" s="123"/>
    </row>
    <row r="367" spans="2:23" x14ac:dyDescent="0.2">
      <c r="C367" s="470"/>
      <c r="D367" s="470"/>
      <c r="E367" s="470"/>
      <c r="F367" s="470"/>
      <c r="G367" s="18"/>
      <c r="H367" s="18"/>
      <c r="I367" s="18"/>
      <c r="J367" s="55"/>
      <c r="L367" s="231"/>
      <c r="M367" s="18"/>
      <c r="N367" s="18"/>
      <c r="O367" s="18"/>
      <c r="Q367" s="18"/>
      <c r="T367" s="123"/>
    </row>
    <row r="368" spans="2:23" x14ac:dyDescent="0.2">
      <c r="B368" s="18"/>
      <c r="C368" s="18"/>
      <c r="D368" s="18"/>
      <c r="E368" s="18"/>
      <c r="F368" s="470" t="s">
        <v>1566</v>
      </c>
      <c r="G368" s="18"/>
      <c r="H368" s="18"/>
      <c r="I368" s="18"/>
      <c r="J368" s="55"/>
      <c r="L368" s="231"/>
      <c r="M368" s="18"/>
      <c r="N368" s="18"/>
      <c r="O368" s="18"/>
      <c r="Q368" s="18"/>
      <c r="T368" s="123"/>
    </row>
    <row r="369" spans="2:20" x14ac:dyDescent="0.2">
      <c r="B369" s="18"/>
      <c r="C369" s="18"/>
      <c r="D369" s="18"/>
      <c r="E369" s="18"/>
      <c r="F369" s="18"/>
      <c r="G369" s="18"/>
      <c r="H369" s="18"/>
      <c r="I369" s="18"/>
      <c r="J369" s="55"/>
      <c r="L369" s="231"/>
      <c r="M369" s="18"/>
      <c r="N369" s="18"/>
      <c r="O369" s="18"/>
      <c r="Q369" s="18"/>
      <c r="T369" s="123"/>
    </row>
    <row r="370" spans="2:20" x14ac:dyDescent="0.2">
      <c r="B370" s="18"/>
      <c r="C370" s="18"/>
      <c r="D370" s="18"/>
      <c r="E370" s="18"/>
      <c r="F370" s="18"/>
      <c r="G370" s="18"/>
      <c r="H370" s="18"/>
      <c r="I370" s="18"/>
      <c r="J370" s="55"/>
      <c r="L370" s="231"/>
      <c r="M370" s="18"/>
      <c r="N370" s="18"/>
      <c r="O370" s="18"/>
      <c r="Q370" s="18"/>
      <c r="T370" s="123"/>
    </row>
    <row r="371" spans="2:20" x14ac:dyDescent="0.2">
      <c r="B371" s="18"/>
      <c r="C371" s="18"/>
      <c r="D371" s="18"/>
      <c r="E371" s="18"/>
      <c r="F371" s="18"/>
      <c r="G371" s="18"/>
      <c r="H371" s="18"/>
      <c r="I371" s="18"/>
      <c r="J371" s="55"/>
      <c r="L371" s="231"/>
      <c r="M371" s="18"/>
      <c r="N371" s="18"/>
      <c r="O371" s="18"/>
      <c r="Q371" s="18"/>
      <c r="T371" s="123"/>
    </row>
    <row r="372" spans="2:20" x14ac:dyDescent="0.2">
      <c r="B372" s="18"/>
      <c r="C372" s="18"/>
      <c r="D372" s="18"/>
      <c r="E372" s="18"/>
      <c r="F372" s="18"/>
      <c r="G372" s="18"/>
      <c r="H372" s="18"/>
      <c r="I372" s="18"/>
      <c r="J372" s="55"/>
      <c r="L372" s="231"/>
      <c r="M372" s="18"/>
      <c r="N372" s="18"/>
      <c r="O372" s="18"/>
      <c r="Q372" s="18"/>
      <c r="T372" s="123"/>
    </row>
    <row r="373" spans="2:20" x14ac:dyDescent="0.2">
      <c r="B373" s="18"/>
      <c r="C373" s="18"/>
      <c r="D373" s="18"/>
      <c r="E373" s="18"/>
      <c r="F373" s="18"/>
      <c r="G373" s="18"/>
      <c r="H373" s="18"/>
      <c r="I373" s="18"/>
      <c r="J373" s="55"/>
      <c r="L373" s="231"/>
      <c r="M373" s="18"/>
      <c r="N373" s="18"/>
      <c r="O373" s="18"/>
      <c r="Q373" s="18"/>
      <c r="T373" s="123"/>
    </row>
    <row r="374" spans="2:20" x14ac:dyDescent="0.2">
      <c r="B374" s="18"/>
      <c r="C374" s="18"/>
      <c r="D374" s="18"/>
      <c r="E374" s="18"/>
      <c r="F374" s="18"/>
      <c r="G374" s="18"/>
      <c r="H374" s="18"/>
      <c r="I374" s="18"/>
      <c r="J374" s="55"/>
      <c r="L374" s="231"/>
      <c r="M374" s="18"/>
      <c r="N374" s="18"/>
      <c r="O374" s="18"/>
      <c r="Q374" s="18"/>
      <c r="T374" s="123"/>
    </row>
    <row r="375" spans="2:20" x14ac:dyDescent="0.2">
      <c r="B375" s="18"/>
      <c r="C375" s="18"/>
      <c r="D375" s="18"/>
      <c r="E375" s="18"/>
      <c r="F375" s="18"/>
      <c r="G375" s="18"/>
      <c r="H375" s="18"/>
      <c r="I375" s="18"/>
      <c r="J375" s="55"/>
      <c r="L375" s="231"/>
      <c r="M375" s="18"/>
      <c r="N375" s="18"/>
      <c r="O375" s="18"/>
      <c r="Q375" s="18"/>
      <c r="T375" s="123"/>
    </row>
    <row r="376" spans="2:20" x14ac:dyDescent="0.2">
      <c r="B376" s="18"/>
      <c r="C376" s="18"/>
      <c r="D376" s="18"/>
      <c r="E376" s="18"/>
      <c r="F376" s="18"/>
      <c r="G376" s="18"/>
      <c r="H376" s="18"/>
      <c r="I376" s="18"/>
      <c r="J376" s="55"/>
      <c r="L376" s="231"/>
      <c r="M376" s="18"/>
      <c r="N376" s="18"/>
      <c r="O376" s="18"/>
      <c r="Q376" s="18"/>
      <c r="T376" s="123"/>
    </row>
    <row r="377" spans="2:20" x14ac:dyDescent="0.2">
      <c r="B377" s="18"/>
      <c r="C377" s="18"/>
      <c r="D377" s="18"/>
      <c r="E377" s="18"/>
      <c r="F377" s="18"/>
      <c r="G377" s="18"/>
      <c r="H377" s="18"/>
      <c r="I377" s="18"/>
      <c r="J377" s="55"/>
      <c r="L377" s="231"/>
      <c r="M377" s="18"/>
      <c r="N377" s="18"/>
      <c r="O377" s="18"/>
      <c r="Q377" s="18"/>
      <c r="T377" s="123"/>
    </row>
    <row r="378" spans="2:20" x14ac:dyDescent="0.2">
      <c r="B378" s="18"/>
      <c r="C378" s="18"/>
      <c r="D378" s="18"/>
      <c r="E378" s="18"/>
      <c r="F378" s="18"/>
      <c r="G378" s="18"/>
      <c r="H378" s="18"/>
      <c r="I378" s="18"/>
      <c r="J378" s="55"/>
      <c r="L378" s="231"/>
      <c r="M378" s="18"/>
      <c r="N378" s="18"/>
      <c r="O378" s="18"/>
      <c r="Q378" s="18"/>
      <c r="T378" s="123"/>
    </row>
  </sheetData>
  <sheetProtection algorithmName="SHA-512" hashValue="X3TVO3haHXS3X+4iPujctMZQcz2hU72IO2jlY6kgCyNYhbSJZq/+jtQK78eP+VplCOM1yY9M1crwYnkb8rVCLA==" saltValue="ZuDmqvJ8f9KnbdfNbIm37g==" spinCount="100000" sheet="1" formatCells="0" insertRows="0" deleteRows="0"/>
  <mergeCells count="206">
    <mergeCell ref="E357:F357"/>
    <mergeCell ref="E359:F359"/>
    <mergeCell ref="E360:F360"/>
    <mergeCell ref="E361:F361"/>
    <mergeCell ref="E362:F362"/>
    <mergeCell ref="E363:F363"/>
    <mergeCell ref="E350:F350"/>
    <mergeCell ref="E351:F351"/>
    <mergeCell ref="E352:F352"/>
    <mergeCell ref="E354:F354"/>
    <mergeCell ref="E355:F355"/>
    <mergeCell ref="E356:F356"/>
    <mergeCell ref="E337:F337"/>
    <mergeCell ref="E342:F342"/>
    <mergeCell ref="E343:F343"/>
    <mergeCell ref="E346:F346"/>
    <mergeCell ref="E347:F347"/>
    <mergeCell ref="E349:F349"/>
    <mergeCell ref="E330:F330"/>
    <mergeCell ref="E331:F331"/>
    <mergeCell ref="E332:F332"/>
    <mergeCell ref="E334:F334"/>
    <mergeCell ref="E335:F335"/>
    <mergeCell ref="E336:F336"/>
    <mergeCell ref="E322:F322"/>
    <mergeCell ref="E324:F324"/>
    <mergeCell ref="E325:F325"/>
    <mergeCell ref="E326:F326"/>
    <mergeCell ref="E327:F327"/>
    <mergeCell ref="E329:F329"/>
    <mergeCell ref="E309:F309"/>
    <mergeCell ref="E313:F313"/>
    <mergeCell ref="E314:F314"/>
    <mergeCell ref="E317:F317"/>
    <mergeCell ref="E318:F318"/>
    <mergeCell ref="E321:F321"/>
    <mergeCell ref="E302:F302"/>
    <mergeCell ref="E303:F303"/>
    <mergeCell ref="E304:F304"/>
    <mergeCell ref="E306:F306"/>
    <mergeCell ref="E307:F307"/>
    <mergeCell ref="E308:F308"/>
    <mergeCell ref="E294:F294"/>
    <mergeCell ref="E296:F296"/>
    <mergeCell ref="E297:F297"/>
    <mergeCell ref="E298:F298"/>
    <mergeCell ref="E299:F299"/>
    <mergeCell ref="E301:F301"/>
    <mergeCell ref="E282:F282"/>
    <mergeCell ref="E285:F285"/>
    <mergeCell ref="E286:F286"/>
    <mergeCell ref="E289:F289"/>
    <mergeCell ref="E290:F290"/>
    <mergeCell ref="E293:F293"/>
    <mergeCell ref="E270:F270"/>
    <mergeCell ref="E273:F273"/>
    <mergeCell ref="E274:F274"/>
    <mergeCell ref="E277:F277"/>
    <mergeCell ref="E278:F278"/>
    <mergeCell ref="E281:F281"/>
    <mergeCell ref="E259:F259"/>
    <mergeCell ref="E260:F260"/>
    <mergeCell ref="E261:F261"/>
    <mergeCell ref="E265:F265"/>
    <mergeCell ref="E266:F266"/>
    <mergeCell ref="E269:F269"/>
    <mergeCell ref="E251:F251"/>
    <mergeCell ref="E253:F253"/>
    <mergeCell ref="E254:F254"/>
    <mergeCell ref="E255:F255"/>
    <mergeCell ref="E256:F256"/>
    <mergeCell ref="E258:F258"/>
    <mergeCell ref="E242:F242"/>
    <mergeCell ref="E245:F245"/>
    <mergeCell ref="E246:F246"/>
    <mergeCell ref="E248:F248"/>
    <mergeCell ref="E249:F249"/>
    <mergeCell ref="E250:F250"/>
    <mergeCell ref="E230:F230"/>
    <mergeCell ref="E233:F233"/>
    <mergeCell ref="E234:F234"/>
    <mergeCell ref="E237:F237"/>
    <mergeCell ref="E238:F238"/>
    <mergeCell ref="E241:F241"/>
    <mergeCell ref="E218:F218"/>
    <mergeCell ref="E221:F221"/>
    <mergeCell ref="E222:F222"/>
    <mergeCell ref="E225:F225"/>
    <mergeCell ref="E226:F226"/>
    <mergeCell ref="E229:F229"/>
    <mergeCell ref="E206:F206"/>
    <mergeCell ref="E209:F209"/>
    <mergeCell ref="E210:F210"/>
    <mergeCell ref="E213:F213"/>
    <mergeCell ref="E214:F214"/>
    <mergeCell ref="E217:F217"/>
    <mergeCell ref="E194:F194"/>
    <mergeCell ref="E197:F197"/>
    <mergeCell ref="E198:F198"/>
    <mergeCell ref="E201:F201"/>
    <mergeCell ref="E202:F202"/>
    <mergeCell ref="E205:F205"/>
    <mergeCell ref="E182:F182"/>
    <mergeCell ref="E185:F185"/>
    <mergeCell ref="E186:F186"/>
    <mergeCell ref="E189:F189"/>
    <mergeCell ref="E190:F190"/>
    <mergeCell ref="E193:F193"/>
    <mergeCell ref="E171:F171"/>
    <mergeCell ref="E172:F172"/>
    <mergeCell ref="E173:F173"/>
    <mergeCell ref="E177:F177"/>
    <mergeCell ref="E178:F178"/>
    <mergeCell ref="E181:F181"/>
    <mergeCell ref="E163:F163"/>
    <mergeCell ref="E165:F165"/>
    <mergeCell ref="E166:F166"/>
    <mergeCell ref="E167:F167"/>
    <mergeCell ref="E168:F168"/>
    <mergeCell ref="E170:F170"/>
    <mergeCell ref="E154:F154"/>
    <mergeCell ref="E157:F157"/>
    <mergeCell ref="E158:F158"/>
    <mergeCell ref="E160:F160"/>
    <mergeCell ref="E161:F161"/>
    <mergeCell ref="E162:F162"/>
    <mergeCell ref="E142:F142"/>
    <mergeCell ref="E145:F145"/>
    <mergeCell ref="E146:F146"/>
    <mergeCell ref="E149:F149"/>
    <mergeCell ref="E150:F150"/>
    <mergeCell ref="E153:F153"/>
    <mergeCell ref="E130:F130"/>
    <mergeCell ref="E133:F133"/>
    <mergeCell ref="E134:F134"/>
    <mergeCell ref="E137:F137"/>
    <mergeCell ref="E138:F138"/>
    <mergeCell ref="E141:F141"/>
    <mergeCell ref="E118:F118"/>
    <mergeCell ref="E121:F121"/>
    <mergeCell ref="E122:F122"/>
    <mergeCell ref="E125:F125"/>
    <mergeCell ref="E126:F126"/>
    <mergeCell ref="E129:F129"/>
    <mergeCell ref="E106:F106"/>
    <mergeCell ref="E109:F109"/>
    <mergeCell ref="E110:F110"/>
    <mergeCell ref="E113:F113"/>
    <mergeCell ref="E114:F114"/>
    <mergeCell ref="E117:F117"/>
    <mergeCell ref="E94:F94"/>
    <mergeCell ref="E97:F97"/>
    <mergeCell ref="E98:F98"/>
    <mergeCell ref="E101:F101"/>
    <mergeCell ref="E102:F102"/>
    <mergeCell ref="E105:F105"/>
    <mergeCell ref="E82:F82"/>
    <mergeCell ref="E84:F84"/>
    <mergeCell ref="E85:F85"/>
    <mergeCell ref="E89:F89"/>
    <mergeCell ref="E90:F90"/>
    <mergeCell ref="E93:F93"/>
    <mergeCell ref="E72:F72"/>
    <mergeCell ref="E74:F74"/>
    <mergeCell ref="E75:F75"/>
    <mergeCell ref="E77:F77"/>
    <mergeCell ref="E79:F79"/>
    <mergeCell ref="E80:F80"/>
    <mergeCell ref="E61:F61"/>
    <mergeCell ref="E62:F62"/>
    <mergeCell ref="E65:F65"/>
    <mergeCell ref="E66:F66"/>
    <mergeCell ref="E69:F69"/>
    <mergeCell ref="E70:F70"/>
    <mergeCell ref="E49:F49"/>
    <mergeCell ref="E50:F50"/>
    <mergeCell ref="E53:F53"/>
    <mergeCell ref="E54:F54"/>
    <mergeCell ref="E57:F57"/>
    <mergeCell ref="E58:F58"/>
    <mergeCell ref="E37:F37"/>
    <mergeCell ref="E38:F38"/>
    <mergeCell ref="E41:F41"/>
    <mergeCell ref="E42:F42"/>
    <mergeCell ref="E45:F45"/>
    <mergeCell ref="E46:F46"/>
    <mergeCell ref="E25:F25"/>
    <mergeCell ref="E26:F26"/>
    <mergeCell ref="E29:F29"/>
    <mergeCell ref="E30:F30"/>
    <mergeCell ref="E33:F33"/>
    <mergeCell ref="E34:F34"/>
    <mergeCell ref="G10:I10"/>
    <mergeCell ref="K10:O10"/>
    <mergeCell ref="E17:F17"/>
    <mergeCell ref="E18:F18"/>
    <mergeCell ref="E21:F21"/>
    <mergeCell ref="E22:F22"/>
    <mergeCell ref="K2:N2"/>
    <mergeCell ref="K3:N3"/>
    <mergeCell ref="K4:N4"/>
    <mergeCell ref="K8:O8"/>
    <mergeCell ref="G9:I9"/>
    <mergeCell ref="K9:O9"/>
    <mergeCell ref="K5:N5"/>
    <mergeCell ref="K6:N6"/>
  </mergeCells>
  <conditionalFormatting sqref="M18">
    <cfRule type="expression" dxfId="349" priority="81">
      <formula>NOT(_xlfn.ISFORMULA(M18))</formula>
    </cfRule>
  </conditionalFormatting>
  <conditionalFormatting sqref="M21:M22">
    <cfRule type="expression" dxfId="348" priority="80">
      <formula>NOT(_xlfn.ISFORMULA(M21))</formula>
    </cfRule>
  </conditionalFormatting>
  <conditionalFormatting sqref="M25:M26">
    <cfRule type="expression" dxfId="347" priority="79">
      <formula>NOT(_xlfn.ISFORMULA(M25))</formula>
    </cfRule>
  </conditionalFormatting>
  <conditionalFormatting sqref="M29:M30">
    <cfRule type="expression" dxfId="346" priority="78">
      <formula>NOT(_xlfn.ISFORMULA(M29))</formula>
    </cfRule>
  </conditionalFormatting>
  <conditionalFormatting sqref="M33:M34">
    <cfRule type="expression" dxfId="345" priority="77">
      <formula>NOT(_xlfn.ISFORMULA(M33))</formula>
    </cfRule>
  </conditionalFormatting>
  <conditionalFormatting sqref="M37:M38">
    <cfRule type="expression" dxfId="344" priority="76">
      <formula>NOT(_xlfn.ISFORMULA(M37))</formula>
    </cfRule>
  </conditionalFormatting>
  <conditionalFormatting sqref="M41:M42">
    <cfRule type="expression" dxfId="343" priority="75">
      <formula>NOT(_xlfn.ISFORMULA(M41))</formula>
    </cfRule>
  </conditionalFormatting>
  <conditionalFormatting sqref="M45:M46">
    <cfRule type="expression" dxfId="342" priority="74">
      <formula>NOT(_xlfn.ISFORMULA(M45))</formula>
    </cfRule>
  </conditionalFormatting>
  <conditionalFormatting sqref="M49:M50">
    <cfRule type="expression" dxfId="341" priority="73">
      <formula>NOT(_xlfn.ISFORMULA(M49))</formula>
    </cfRule>
  </conditionalFormatting>
  <conditionalFormatting sqref="M53:M54">
    <cfRule type="expression" dxfId="340" priority="72">
      <formula>NOT(_xlfn.ISFORMULA(M53))</formula>
    </cfRule>
  </conditionalFormatting>
  <conditionalFormatting sqref="M57:M58">
    <cfRule type="expression" dxfId="339" priority="71">
      <formula>NOT(_xlfn.ISFORMULA(M57))</formula>
    </cfRule>
  </conditionalFormatting>
  <conditionalFormatting sqref="M61:M62">
    <cfRule type="expression" dxfId="338" priority="70">
      <formula>NOT(_xlfn.ISFORMULA(M61))</formula>
    </cfRule>
  </conditionalFormatting>
  <conditionalFormatting sqref="M65:M66">
    <cfRule type="expression" dxfId="337" priority="69">
      <formula>NOT(_xlfn.ISFORMULA(M65))</formula>
    </cfRule>
  </conditionalFormatting>
  <conditionalFormatting sqref="M69:M70">
    <cfRule type="expression" dxfId="336" priority="68">
      <formula>NOT(_xlfn.ISFORMULA(M69))</formula>
    </cfRule>
  </conditionalFormatting>
  <conditionalFormatting sqref="M74:M75">
    <cfRule type="expression" dxfId="335" priority="67">
      <formula>NOT(_xlfn.ISFORMULA(M74))</formula>
    </cfRule>
  </conditionalFormatting>
  <conditionalFormatting sqref="M79:M80">
    <cfRule type="expression" dxfId="334" priority="66">
      <formula>NOT(_xlfn.ISFORMULA(M79))</formula>
    </cfRule>
  </conditionalFormatting>
  <conditionalFormatting sqref="M84:M85">
    <cfRule type="expression" dxfId="333" priority="65">
      <formula>NOT(_xlfn.ISFORMULA(M84))</formula>
    </cfRule>
  </conditionalFormatting>
  <conditionalFormatting sqref="M89:M90">
    <cfRule type="expression" dxfId="332" priority="64">
      <formula>NOT(_xlfn.ISFORMULA(M89))</formula>
    </cfRule>
  </conditionalFormatting>
  <conditionalFormatting sqref="M93:M94">
    <cfRule type="expression" dxfId="331" priority="63">
      <formula>NOT(_xlfn.ISFORMULA(M93))</formula>
    </cfRule>
  </conditionalFormatting>
  <conditionalFormatting sqref="M97:M98">
    <cfRule type="expression" dxfId="330" priority="62">
      <formula>NOT(_xlfn.ISFORMULA(M97))</formula>
    </cfRule>
  </conditionalFormatting>
  <conditionalFormatting sqref="M101:M102">
    <cfRule type="expression" dxfId="329" priority="61">
      <formula>NOT(_xlfn.ISFORMULA(M101))</formula>
    </cfRule>
  </conditionalFormatting>
  <conditionalFormatting sqref="M105:M106">
    <cfRule type="expression" dxfId="328" priority="60">
      <formula>NOT(_xlfn.ISFORMULA(M105))</formula>
    </cfRule>
  </conditionalFormatting>
  <conditionalFormatting sqref="M109:M110">
    <cfRule type="expression" dxfId="327" priority="59">
      <formula>NOT(_xlfn.ISFORMULA(M109))</formula>
    </cfRule>
  </conditionalFormatting>
  <conditionalFormatting sqref="M113:M114">
    <cfRule type="expression" dxfId="326" priority="58">
      <formula>NOT(_xlfn.ISFORMULA(M113))</formula>
    </cfRule>
  </conditionalFormatting>
  <conditionalFormatting sqref="M117:M118">
    <cfRule type="expression" dxfId="325" priority="57">
      <formula>NOT(_xlfn.ISFORMULA(M117))</formula>
    </cfRule>
  </conditionalFormatting>
  <conditionalFormatting sqref="M121:M122">
    <cfRule type="expression" dxfId="324" priority="56">
      <formula>NOT(_xlfn.ISFORMULA(M121))</formula>
    </cfRule>
  </conditionalFormatting>
  <conditionalFormatting sqref="M125:M126">
    <cfRule type="expression" dxfId="323" priority="55">
      <formula>NOT(_xlfn.ISFORMULA(M125))</formula>
    </cfRule>
  </conditionalFormatting>
  <conditionalFormatting sqref="M129:M130">
    <cfRule type="expression" dxfId="322" priority="54">
      <formula>NOT(_xlfn.ISFORMULA(M129))</formula>
    </cfRule>
  </conditionalFormatting>
  <conditionalFormatting sqref="M133:M134">
    <cfRule type="expression" dxfId="321" priority="53">
      <formula>NOT(_xlfn.ISFORMULA(M133))</formula>
    </cfRule>
  </conditionalFormatting>
  <conditionalFormatting sqref="M137:M138">
    <cfRule type="expression" dxfId="320" priority="52">
      <formula>NOT(_xlfn.ISFORMULA(M137))</formula>
    </cfRule>
  </conditionalFormatting>
  <conditionalFormatting sqref="M141:M142">
    <cfRule type="expression" dxfId="319" priority="51">
      <formula>NOT(_xlfn.ISFORMULA(M141))</formula>
    </cfRule>
  </conditionalFormatting>
  <conditionalFormatting sqref="M145:M146">
    <cfRule type="expression" dxfId="318" priority="50">
      <formula>NOT(_xlfn.ISFORMULA(M145))</formula>
    </cfRule>
  </conditionalFormatting>
  <conditionalFormatting sqref="M149:M150">
    <cfRule type="expression" dxfId="317" priority="49">
      <formula>NOT(_xlfn.ISFORMULA(M149))</formula>
    </cfRule>
  </conditionalFormatting>
  <conditionalFormatting sqref="M153:M154">
    <cfRule type="expression" dxfId="316" priority="48">
      <formula>NOT(_xlfn.ISFORMULA(M153))</formula>
    </cfRule>
  </conditionalFormatting>
  <conditionalFormatting sqref="M157:M158">
    <cfRule type="expression" dxfId="315" priority="47">
      <formula>NOT(_xlfn.ISFORMULA(M157))</formula>
    </cfRule>
  </conditionalFormatting>
  <conditionalFormatting sqref="M162:M163">
    <cfRule type="expression" dxfId="314" priority="46">
      <formula>NOT(_xlfn.ISFORMULA(M162))</formula>
    </cfRule>
  </conditionalFormatting>
  <conditionalFormatting sqref="M167:M168">
    <cfRule type="expression" dxfId="313" priority="45">
      <formula>NOT(_xlfn.ISFORMULA(M167))</formula>
    </cfRule>
  </conditionalFormatting>
  <conditionalFormatting sqref="M172:M173">
    <cfRule type="expression" dxfId="312" priority="44">
      <formula>NOT(_xlfn.ISFORMULA(M172))</formula>
    </cfRule>
  </conditionalFormatting>
  <conditionalFormatting sqref="M177:M178">
    <cfRule type="expression" dxfId="311" priority="43">
      <formula>NOT(_xlfn.ISFORMULA(M177))</formula>
    </cfRule>
  </conditionalFormatting>
  <conditionalFormatting sqref="M181:M182">
    <cfRule type="expression" dxfId="310" priority="42">
      <formula>NOT(_xlfn.ISFORMULA(M181))</formula>
    </cfRule>
  </conditionalFormatting>
  <conditionalFormatting sqref="M185:M186">
    <cfRule type="expression" dxfId="309" priority="41">
      <formula>NOT(_xlfn.ISFORMULA(M185))</formula>
    </cfRule>
  </conditionalFormatting>
  <conditionalFormatting sqref="M189:M190">
    <cfRule type="expression" dxfId="308" priority="40">
      <formula>NOT(_xlfn.ISFORMULA(M189))</formula>
    </cfRule>
  </conditionalFormatting>
  <conditionalFormatting sqref="M193:M194">
    <cfRule type="expression" dxfId="307" priority="39">
      <formula>NOT(_xlfn.ISFORMULA(M193))</formula>
    </cfRule>
  </conditionalFormatting>
  <conditionalFormatting sqref="M197:M198">
    <cfRule type="expression" dxfId="306" priority="38">
      <formula>NOT(_xlfn.ISFORMULA(M197))</formula>
    </cfRule>
  </conditionalFormatting>
  <conditionalFormatting sqref="M201:M202">
    <cfRule type="expression" dxfId="305" priority="37">
      <formula>NOT(_xlfn.ISFORMULA(M201))</formula>
    </cfRule>
  </conditionalFormatting>
  <conditionalFormatting sqref="M205:M206">
    <cfRule type="expression" dxfId="304" priority="36">
      <formula>NOT(_xlfn.ISFORMULA(M205))</formula>
    </cfRule>
  </conditionalFormatting>
  <conditionalFormatting sqref="M209:M210">
    <cfRule type="expression" dxfId="303" priority="35">
      <formula>NOT(_xlfn.ISFORMULA(M209))</formula>
    </cfRule>
  </conditionalFormatting>
  <conditionalFormatting sqref="M213:M214">
    <cfRule type="expression" dxfId="302" priority="34">
      <formula>NOT(_xlfn.ISFORMULA(M213))</formula>
    </cfRule>
  </conditionalFormatting>
  <conditionalFormatting sqref="M217:M218">
    <cfRule type="expression" dxfId="301" priority="33">
      <formula>NOT(_xlfn.ISFORMULA(M217))</formula>
    </cfRule>
  </conditionalFormatting>
  <conditionalFormatting sqref="M221:M222">
    <cfRule type="expression" dxfId="300" priority="32">
      <formula>NOT(_xlfn.ISFORMULA(M221))</formula>
    </cfRule>
  </conditionalFormatting>
  <conditionalFormatting sqref="M225:M226">
    <cfRule type="expression" dxfId="299" priority="31">
      <formula>NOT(_xlfn.ISFORMULA(M225))</formula>
    </cfRule>
  </conditionalFormatting>
  <conditionalFormatting sqref="M229:M230">
    <cfRule type="expression" dxfId="298" priority="30">
      <formula>NOT(_xlfn.ISFORMULA(M229))</formula>
    </cfRule>
  </conditionalFormatting>
  <conditionalFormatting sqref="M233:M234">
    <cfRule type="expression" dxfId="297" priority="29">
      <formula>NOT(_xlfn.ISFORMULA(M233))</formula>
    </cfRule>
  </conditionalFormatting>
  <conditionalFormatting sqref="M237:M238">
    <cfRule type="expression" dxfId="296" priority="28">
      <formula>NOT(_xlfn.ISFORMULA(M237))</formula>
    </cfRule>
  </conditionalFormatting>
  <conditionalFormatting sqref="M241:M242">
    <cfRule type="expression" dxfId="295" priority="27">
      <formula>NOT(_xlfn.ISFORMULA(M241))</formula>
    </cfRule>
  </conditionalFormatting>
  <conditionalFormatting sqref="M245:M246">
    <cfRule type="expression" dxfId="294" priority="26">
      <formula>NOT(_xlfn.ISFORMULA(M245))</formula>
    </cfRule>
  </conditionalFormatting>
  <conditionalFormatting sqref="M250:M251">
    <cfRule type="expression" dxfId="293" priority="25">
      <formula>NOT(_xlfn.ISFORMULA(M250))</formula>
    </cfRule>
  </conditionalFormatting>
  <conditionalFormatting sqref="M255:M256">
    <cfRule type="expression" dxfId="292" priority="24">
      <formula>NOT(_xlfn.ISFORMULA(M255))</formula>
    </cfRule>
  </conditionalFormatting>
  <conditionalFormatting sqref="M260:M261">
    <cfRule type="expression" dxfId="291" priority="23">
      <formula>NOT(_xlfn.ISFORMULA(M260))</formula>
    </cfRule>
  </conditionalFormatting>
  <conditionalFormatting sqref="M265:M266">
    <cfRule type="expression" dxfId="290" priority="22">
      <formula>NOT(_xlfn.ISFORMULA(M265))</formula>
    </cfRule>
  </conditionalFormatting>
  <conditionalFormatting sqref="M269:M270">
    <cfRule type="expression" dxfId="289" priority="21">
      <formula>NOT(_xlfn.ISFORMULA(M269))</formula>
    </cfRule>
  </conditionalFormatting>
  <conditionalFormatting sqref="M273:M274">
    <cfRule type="expression" dxfId="288" priority="20">
      <formula>NOT(_xlfn.ISFORMULA(M273))</formula>
    </cfRule>
  </conditionalFormatting>
  <conditionalFormatting sqref="M277:M278">
    <cfRule type="expression" dxfId="287" priority="19">
      <formula>NOT(_xlfn.ISFORMULA(M277))</formula>
    </cfRule>
  </conditionalFormatting>
  <conditionalFormatting sqref="M281:M282">
    <cfRule type="expression" dxfId="286" priority="18">
      <formula>NOT(_xlfn.ISFORMULA(M281))</formula>
    </cfRule>
  </conditionalFormatting>
  <conditionalFormatting sqref="M285:M286">
    <cfRule type="expression" dxfId="285" priority="17">
      <formula>NOT(_xlfn.ISFORMULA(M285))</formula>
    </cfRule>
  </conditionalFormatting>
  <conditionalFormatting sqref="M289:M290">
    <cfRule type="expression" dxfId="284" priority="16">
      <formula>NOT(_xlfn.ISFORMULA(M289))</formula>
    </cfRule>
  </conditionalFormatting>
  <conditionalFormatting sqref="M293:M294">
    <cfRule type="expression" dxfId="283" priority="15">
      <formula>NOT(_xlfn.ISFORMULA(M293))</formula>
    </cfRule>
  </conditionalFormatting>
  <conditionalFormatting sqref="M298:M299">
    <cfRule type="expression" dxfId="282" priority="14">
      <formula>NOT(_xlfn.ISFORMULA(M298))</formula>
    </cfRule>
  </conditionalFormatting>
  <conditionalFormatting sqref="M303:M304">
    <cfRule type="expression" dxfId="281" priority="13">
      <formula>NOT(_xlfn.ISFORMULA(M303))</formula>
    </cfRule>
  </conditionalFormatting>
  <conditionalFormatting sqref="M308:M309">
    <cfRule type="expression" dxfId="280" priority="12">
      <formula>NOT(_xlfn.ISFORMULA(M308))</formula>
    </cfRule>
  </conditionalFormatting>
  <conditionalFormatting sqref="M313:M314">
    <cfRule type="expression" dxfId="279" priority="11">
      <formula>NOT(_xlfn.ISFORMULA(M313))</formula>
    </cfRule>
  </conditionalFormatting>
  <conditionalFormatting sqref="M317:M318">
    <cfRule type="expression" dxfId="278" priority="10">
      <formula>NOT(_xlfn.ISFORMULA(M317))</formula>
    </cfRule>
  </conditionalFormatting>
  <conditionalFormatting sqref="M321:M322">
    <cfRule type="expression" dxfId="277" priority="9">
      <formula>NOT(_xlfn.ISFORMULA(M321))</formula>
    </cfRule>
  </conditionalFormatting>
  <conditionalFormatting sqref="M326:M327">
    <cfRule type="expression" dxfId="276" priority="8">
      <formula>NOT(_xlfn.ISFORMULA(M326))</formula>
    </cfRule>
  </conditionalFormatting>
  <conditionalFormatting sqref="M331:M332">
    <cfRule type="expression" dxfId="275" priority="7">
      <formula>NOT(_xlfn.ISFORMULA(M331))</formula>
    </cfRule>
  </conditionalFormatting>
  <conditionalFormatting sqref="M336:M337">
    <cfRule type="expression" dxfId="274" priority="6">
      <formula>NOT(_xlfn.ISFORMULA(M336))</formula>
    </cfRule>
  </conditionalFormatting>
  <conditionalFormatting sqref="M342:M343">
    <cfRule type="expression" dxfId="273" priority="5">
      <formula>NOT(_xlfn.ISFORMULA(M342))</formula>
    </cfRule>
  </conditionalFormatting>
  <conditionalFormatting sqref="M346:M347">
    <cfRule type="expression" dxfId="272" priority="4">
      <formula>NOT(_xlfn.ISFORMULA(M346))</formula>
    </cfRule>
  </conditionalFormatting>
  <conditionalFormatting sqref="M351:M352">
    <cfRule type="expression" dxfId="271" priority="3">
      <formula>NOT(_xlfn.ISFORMULA(M351))</formula>
    </cfRule>
  </conditionalFormatting>
  <conditionalFormatting sqref="M356:M357">
    <cfRule type="expression" dxfId="270" priority="2">
      <formula>NOT(_xlfn.ISFORMULA(M356))</formula>
    </cfRule>
  </conditionalFormatting>
  <conditionalFormatting sqref="M361:M362">
    <cfRule type="expression" dxfId="269" priority="1">
      <formula>NOT(_xlfn.ISFORMULA(M361))</formula>
    </cfRule>
  </conditionalFormatting>
  <conditionalFormatting sqref="Q13:Q16">
    <cfRule type="cellIs" dxfId="268" priority="342" operator="equal">
      <formula>0</formula>
    </cfRule>
    <cfRule type="cellIs" dxfId="267" priority="341" operator="greaterThan">
      <formula>0</formula>
    </cfRule>
    <cfRule type="cellIs" dxfId="266" priority="340" operator="lessThan">
      <formula>0</formula>
    </cfRule>
  </conditionalFormatting>
  <conditionalFormatting sqref="Q86:Q87">
    <cfRule type="cellIs" dxfId="265" priority="287" operator="greaterThan">
      <formula>0</formula>
    </cfRule>
    <cfRule type="cellIs" dxfId="264" priority="288" operator="equal">
      <formula>0</formula>
    </cfRule>
    <cfRule type="cellIs" dxfId="263" priority="286" operator="lessThan">
      <formula>0</formula>
    </cfRule>
  </conditionalFormatting>
  <conditionalFormatting sqref="Q174:Q175">
    <cfRule type="cellIs" dxfId="262" priority="220" operator="lessThan">
      <formula>0</formula>
    </cfRule>
    <cfRule type="cellIs" dxfId="261" priority="222" operator="equal">
      <formula>0</formula>
    </cfRule>
    <cfRule type="cellIs" dxfId="260" priority="221" operator="greaterThan">
      <formula>0</formula>
    </cfRule>
  </conditionalFormatting>
  <conditionalFormatting sqref="Q262">
    <cfRule type="cellIs" dxfId="259" priority="151" operator="lessThan">
      <formula>0</formula>
    </cfRule>
    <cfRule type="cellIs" dxfId="258" priority="152" operator="greaterThan">
      <formula>0</formula>
    </cfRule>
    <cfRule type="cellIs" dxfId="257" priority="153" operator="equal">
      <formula>0</formula>
    </cfRule>
  </conditionalFormatting>
  <conditionalFormatting sqref="Q310">
    <cfRule type="cellIs" dxfId="256" priority="116" operator="greaterThan">
      <formula>0</formula>
    </cfRule>
    <cfRule type="cellIs" dxfId="255" priority="117" operator="equal">
      <formula>0</formula>
    </cfRule>
    <cfRule type="cellIs" dxfId="254" priority="115" operator="lessThan">
      <formula>0</formula>
    </cfRule>
  </conditionalFormatting>
  <conditionalFormatting sqref="Q338:Q340">
    <cfRule type="cellIs" dxfId="253" priority="97" operator="lessThan">
      <formula>0</formula>
    </cfRule>
    <cfRule type="cellIs" dxfId="252" priority="99" operator="equal">
      <formula>0</formula>
    </cfRule>
    <cfRule type="cellIs" dxfId="251" priority="98" operator="greaterThan">
      <formula>0</formula>
    </cfRule>
  </conditionalFormatting>
  <conditionalFormatting sqref="Q19:R19">
    <cfRule type="cellIs" dxfId="250" priority="334" operator="lessThan">
      <formula>0</formula>
    </cfRule>
    <cfRule type="cellIs" dxfId="249" priority="336" operator="equal">
      <formula>0</formula>
    </cfRule>
    <cfRule type="cellIs" dxfId="248" priority="335" operator="greaterThan">
      <formula>0</formula>
    </cfRule>
  </conditionalFormatting>
  <conditionalFormatting sqref="Q23:R23">
    <cfRule type="cellIs" dxfId="247" priority="333" operator="equal">
      <formula>0</formula>
    </cfRule>
    <cfRule type="cellIs" dxfId="246" priority="332" operator="greaterThan">
      <formula>0</formula>
    </cfRule>
    <cfRule type="cellIs" dxfId="245" priority="331" operator="lessThan">
      <formula>0</formula>
    </cfRule>
  </conditionalFormatting>
  <conditionalFormatting sqref="Q27:R27">
    <cfRule type="cellIs" dxfId="244" priority="330" operator="equal">
      <formula>0</formula>
    </cfRule>
    <cfRule type="cellIs" dxfId="243" priority="329" operator="greaterThan">
      <formula>0</formula>
    </cfRule>
    <cfRule type="cellIs" dxfId="242" priority="328" operator="lessThan">
      <formula>0</formula>
    </cfRule>
  </conditionalFormatting>
  <conditionalFormatting sqref="Q31:R31">
    <cfRule type="cellIs" dxfId="241" priority="327" operator="equal">
      <formula>0</formula>
    </cfRule>
    <cfRule type="cellIs" dxfId="240" priority="326" operator="greaterThan">
      <formula>0</formula>
    </cfRule>
    <cfRule type="cellIs" dxfId="239" priority="325" operator="lessThan">
      <formula>0</formula>
    </cfRule>
  </conditionalFormatting>
  <conditionalFormatting sqref="Q35:R35">
    <cfRule type="cellIs" dxfId="238" priority="322" operator="lessThan">
      <formula>0</formula>
    </cfRule>
    <cfRule type="cellIs" dxfId="237" priority="323" operator="greaterThan">
      <formula>0</formula>
    </cfRule>
    <cfRule type="cellIs" dxfId="236" priority="324" operator="equal">
      <formula>0</formula>
    </cfRule>
  </conditionalFormatting>
  <conditionalFormatting sqref="Q39:R39">
    <cfRule type="cellIs" dxfId="235" priority="321" operator="equal">
      <formula>0</formula>
    </cfRule>
    <cfRule type="cellIs" dxfId="234" priority="320" operator="greaterThan">
      <formula>0</formula>
    </cfRule>
    <cfRule type="cellIs" dxfId="233" priority="319" operator="lessThan">
      <formula>0</formula>
    </cfRule>
  </conditionalFormatting>
  <conditionalFormatting sqref="Q43:R43">
    <cfRule type="cellIs" dxfId="232" priority="318" operator="equal">
      <formula>0</formula>
    </cfRule>
    <cfRule type="cellIs" dxfId="231" priority="317" operator="greaterThan">
      <formula>0</formula>
    </cfRule>
    <cfRule type="cellIs" dxfId="230" priority="316" operator="lessThan">
      <formula>0</formula>
    </cfRule>
  </conditionalFormatting>
  <conditionalFormatting sqref="Q47:R47">
    <cfRule type="cellIs" dxfId="229" priority="315" operator="equal">
      <formula>0</formula>
    </cfRule>
    <cfRule type="cellIs" dxfId="228" priority="314" operator="greaterThan">
      <formula>0</formula>
    </cfRule>
    <cfRule type="cellIs" dxfId="227" priority="313" operator="lessThan">
      <formula>0</formula>
    </cfRule>
  </conditionalFormatting>
  <conditionalFormatting sqref="Q51:R51">
    <cfRule type="cellIs" dxfId="226" priority="312" operator="equal">
      <formula>0</formula>
    </cfRule>
    <cfRule type="cellIs" dxfId="225" priority="311" operator="greaterThan">
      <formula>0</formula>
    </cfRule>
    <cfRule type="cellIs" dxfId="224" priority="310" operator="lessThan">
      <formula>0</formula>
    </cfRule>
  </conditionalFormatting>
  <conditionalFormatting sqref="Q55:R55">
    <cfRule type="cellIs" dxfId="223" priority="309" operator="equal">
      <formula>0</formula>
    </cfRule>
    <cfRule type="cellIs" dxfId="222" priority="308" operator="greaterThan">
      <formula>0</formula>
    </cfRule>
    <cfRule type="cellIs" dxfId="221" priority="307" operator="lessThan">
      <formula>0</formula>
    </cfRule>
  </conditionalFormatting>
  <conditionalFormatting sqref="Q59:R59">
    <cfRule type="cellIs" dxfId="220" priority="305" operator="greaterThan">
      <formula>0</formula>
    </cfRule>
    <cfRule type="cellIs" dxfId="219" priority="306" operator="equal">
      <formula>0</formula>
    </cfRule>
    <cfRule type="cellIs" dxfId="218" priority="304" operator="lessThan">
      <formula>0</formula>
    </cfRule>
  </conditionalFormatting>
  <conditionalFormatting sqref="Q63:R63">
    <cfRule type="cellIs" dxfId="217" priority="303" operator="equal">
      <formula>0</formula>
    </cfRule>
    <cfRule type="cellIs" dxfId="216" priority="302" operator="greaterThan">
      <formula>0</formula>
    </cfRule>
    <cfRule type="cellIs" dxfId="215" priority="301" operator="lessThan">
      <formula>0</formula>
    </cfRule>
  </conditionalFormatting>
  <conditionalFormatting sqref="Q67:R67">
    <cfRule type="cellIs" dxfId="214" priority="298" operator="lessThan">
      <formula>0</formula>
    </cfRule>
    <cfRule type="cellIs" dxfId="213" priority="300" operator="equal">
      <formula>0</formula>
    </cfRule>
    <cfRule type="cellIs" dxfId="212" priority="299" operator="greaterThan">
      <formula>0</formula>
    </cfRule>
  </conditionalFormatting>
  <conditionalFormatting sqref="Q72:R72">
    <cfRule type="cellIs" dxfId="211" priority="297" operator="equal">
      <formula>0</formula>
    </cfRule>
    <cfRule type="cellIs" dxfId="210" priority="296" operator="greaterThan">
      <formula>0</formula>
    </cfRule>
    <cfRule type="cellIs" dxfId="209" priority="295" operator="lessThan">
      <formula>0</formula>
    </cfRule>
  </conditionalFormatting>
  <conditionalFormatting sqref="Q77:R77">
    <cfRule type="cellIs" dxfId="208" priority="294" operator="equal">
      <formula>0</formula>
    </cfRule>
    <cfRule type="cellIs" dxfId="207" priority="292" operator="lessThan">
      <formula>0</formula>
    </cfRule>
    <cfRule type="cellIs" dxfId="206" priority="293" operator="greaterThan">
      <formula>0</formula>
    </cfRule>
  </conditionalFormatting>
  <conditionalFormatting sqref="Q82:R82">
    <cfRule type="cellIs" dxfId="205" priority="291" operator="equal">
      <formula>0</formula>
    </cfRule>
    <cfRule type="cellIs" dxfId="204" priority="290" operator="greaterThan">
      <formula>0</formula>
    </cfRule>
    <cfRule type="cellIs" dxfId="203" priority="289" operator="lessThan">
      <formula>0</formula>
    </cfRule>
  </conditionalFormatting>
  <conditionalFormatting sqref="Q91:R91">
    <cfRule type="cellIs" dxfId="202" priority="282" operator="equal">
      <formula>0</formula>
    </cfRule>
    <cfRule type="cellIs" dxfId="201" priority="281" operator="greaterThan">
      <formula>0</formula>
    </cfRule>
    <cfRule type="cellIs" dxfId="200" priority="280" operator="lessThan">
      <formula>0</formula>
    </cfRule>
  </conditionalFormatting>
  <conditionalFormatting sqref="Q95:R95">
    <cfRule type="cellIs" dxfId="199" priority="279" operator="equal">
      <formula>0</formula>
    </cfRule>
    <cfRule type="cellIs" dxfId="198" priority="278" operator="greaterThan">
      <formula>0</formula>
    </cfRule>
    <cfRule type="cellIs" dxfId="197" priority="277" operator="lessThan">
      <formula>0</formula>
    </cfRule>
  </conditionalFormatting>
  <conditionalFormatting sqref="Q99:R99">
    <cfRule type="cellIs" dxfId="196" priority="276" operator="equal">
      <formula>0</formula>
    </cfRule>
    <cfRule type="cellIs" dxfId="195" priority="275" operator="greaterThan">
      <formula>0</formula>
    </cfRule>
    <cfRule type="cellIs" dxfId="194" priority="274" operator="lessThan">
      <formula>0</formula>
    </cfRule>
  </conditionalFormatting>
  <conditionalFormatting sqref="Q103:R103">
    <cfRule type="cellIs" dxfId="193" priority="273" operator="equal">
      <formula>0</formula>
    </cfRule>
    <cfRule type="cellIs" dxfId="192" priority="271" operator="lessThan">
      <formula>0</formula>
    </cfRule>
    <cfRule type="cellIs" dxfId="191" priority="272" operator="greaterThan">
      <formula>0</formula>
    </cfRule>
  </conditionalFormatting>
  <conditionalFormatting sqref="Q107:R107">
    <cfRule type="cellIs" dxfId="190" priority="270" operator="equal">
      <formula>0</formula>
    </cfRule>
    <cfRule type="cellIs" dxfId="189" priority="269" operator="greaterThan">
      <formula>0</formula>
    </cfRule>
    <cfRule type="cellIs" dxfId="188" priority="268" operator="lessThan">
      <formula>0</formula>
    </cfRule>
  </conditionalFormatting>
  <conditionalFormatting sqref="Q111:R111">
    <cfRule type="cellIs" dxfId="187" priority="267" operator="equal">
      <formula>0</formula>
    </cfRule>
    <cfRule type="cellIs" dxfId="186" priority="266" operator="greaterThan">
      <formula>0</formula>
    </cfRule>
    <cfRule type="cellIs" dxfId="185" priority="265" operator="lessThan">
      <formula>0</formula>
    </cfRule>
  </conditionalFormatting>
  <conditionalFormatting sqref="Q115:R115">
    <cfRule type="cellIs" dxfId="184" priority="263" operator="greaterThan">
      <formula>0</formula>
    </cfRule>
    <cfRule type="cellIs" dxfId="183" priority="262" operator="lessThan">
      <formula>0</formula>
    </cfRule>
    <cfRule type="cellIs" dxfId="182" priority="264" operator="equal">
      <formula>0</formula>
    </cfRule>
  </conditionalFormatting>
  <conditionalFormatting sqref="Q119:R119">
    <cfRule type="cellIs" dxfId="181" priority="261" operator="equal">
      <formula>0</formula>
    </cfRule>
    <cfRule type="cellIs" dxfId="180" priority="260" operator="greaterThan">
      <formula>0</formula>
    </cfRule>
    <cfRule type="cellIs" dxfId="179" priority="259" operator="lessThan">
      <formula>0</formula>
    </cfRule>
  </conditionalFormatting>
  <conditionalFormatting sqref="Q123:R123">
    <cfRule type="cellIs" dxfId="178" priority="257" operator="greaterThan">
      <formula>0</formula>
    </cfRule>
    <cfRule type="cellIs" dxfId="177" priority="258" operator="equal">
      <formula>0</formula>
    </cfRule>
    <cfRule type="cellIs" dxfId="176" priority="256" operator="lessThan">
      <formula>0</formula>
    </cfRule>
  </conditionalFormatting>
  <conditionalFormatting sqref="Q127:R127">
    <cfRule type="cellIs" dxfId="175" priority="255" operator="equal">
      <formula>0</formula>
    </cfRule>
    <cfRule type="cellIs" dxfId="174" priority="254" operator="greaterThan">
      <formula>0</formula>
    </cfRule>
    <cfRule type="cellIs" dxfId="173" priority="253" operator="lessThan">
      <formula>0</formula>
    </cfRule>
  </conditionalFormatting>
  <conditionalFormatting sqref="Q131:R131">
    <cfRule type="cellIs" dxfId="172" priority="252" operator="equal">
      <formula>0</formula>
    </cfRule>
    <cfRule type="cellIs" dxfId="171" priority="251" operator="greaterThan">
      <formula>0</formula>
    </cfRule>
    <cfRule type="cellIs" dxfId="170" priority="250" operator="lessThan">
      <formula>0</formula>
    </cfRule>
  </conditionalFormatting>
  <conditionalFormatting sqref="Q135:R135">
    <cfRule type="cellIs" dxfId="169" priority="249" operator="equal">
      <formula>0</formula>
    </cfRule>
    <cfRule type="cellIs" dxfId="168" priority="248" operator="greaterThan">
      <formula>0</formula>
    </cfRule>
    <cfRule type="cellIs" dxfId="167" priority="247" operator="lessThan">
      <formula>0</formula>
    </cfRule>
  </conditionalFormatting>
  <conditionalFormatting sqref="Q139:R139">
    <cfRule type="cellIs" dxfId="166" priority="245" operator="greaterThan">
      <formula>0</formula>
    </cfRule>
    <cfRule type="cellIs" dxfId="165" priority="244" operator="lessThan">
      <formula>0</formula>
    </cfRule>
    <cfRule type="cellIs" dxfId="164" priority="246" operator="equal">
      <formula>0</formula>
    </cfRule>
  </conditionalFormatting>
  <conditionalFormatting sqref="Q143:R143">
    <cfRule type="cellIs" dxfId="163" priority="241" operator="lessThan">
      <formula>0</formula>
    </cfRule>
    <cfRule type="cellIs" dxfId="162" priority="242" operator="greaterThan">
      <formula>0</formula>
    </cfRule>
    <cfRule type="cellIs" dxfId="161" priority="243" operator="equal">
      <formula>0</formula>
    </cfRule>
  </conditionalFormatting>
  <conditionalFormatting sqref="Q147:R147">
    <cfRule type="cellIs" dxfId="160" priority="238" operator="lessThan">
      <formula>0</formula>
    </cfRule>
    <cfRule type="cellIs" dxfId="159" priority="239" operator="greaterThan">
      <formula>0</formula>
    </cfRule>
    <cfRule type="cellIs" dxfId="158" priority="240" operator="equal">
      <formula>0</formula>
    </cfRule>
  </conditionalFormatting>
  <conditionalFormatting sqref="Q151:R151">
    <cfRule type="cellIs" dxfId="157" priority="237" operator="equal">
      <formula>0</formula>
    </cfRule>
    <cfRule type="cellIs" dxfId="156" priority="235" operator="lessThan">
      <formula>0</formula>
    </cfRule>
    <cfRule type="cellIs" dxfId="155" priority="236" operator="greaterThan">
      <formula>0</formula>
    </cfRule>
  </conditionalFormatting>
  <conditionalFormatting sqref="Q155:R155">
    <cfRule type="cellIs" dxfId="154" priority="232" operator="lessThan">
      <formula>0</formula>
    </cfRule>
    <cfRule type="cellIs" dxfId="153" priority="233" operator="greaterThan">
      <formula>0</formula>
    </cfRule>
    <cfRule type="cellIs" dxfId="152" priority="234" operator="equal">
      <formula>0</formula>
    </cfRule>
  </conditionalFormatting>
  <conditionalFormatting sqref="Q160:R160">
    <cfRule type="cellIs" dxfId="151" priority="229" operator="lessThan">
      <formula>0</formula>
    </cfRule>
    <cfRule type="cellIs" dxfId="150" priority="230" operator="greaterThan">
      <formula>0</formula>
    </cfRule>
    <cfRule type="cellIs" dxfId="149" priority="231" operator="equal">
      <formula>0</formula>
    </cfRule>
  </conditionalFormatting>
  <conditionalFormatting sqref="Q165:R165">
    <cfRule type="cellIs" dxfId="148" priority="226" operator="lessThan">
      <formula>0</formula>
    </cfRule>
    <cfRule type="cellIs" dxfId="147" priority="227" operator="greaterThan">
      <formula>0</formula>
    </cfRule>
    <cfRule type="cellIs" dxfId="146" priority="228" operator="equal">
      <formula>0</formula>
    </cfRule>
  </conditionalFormatting>
  <conditionalFormatting sqref="Q170:R170">
    <cfRule type="cellIs" dxfId="145" priority="225" operator="equal">
      <formula>0</formula>
    </cfRule>
    <cfRule type="cellIs" dxfId="144" priority="223" operator="lessThan">
      <formula>0</formula>
    </cfRule>
    <cfRule type="cellIs" dxfId="143" priority="224" operator="greaterThan">
      <formula>0</formula>
    </cfRule>
  </conditionalFormatting>
  <conditionalFormatting sqref="Q179:R179">
    <cfRule type="cellIs" dxfId="142" priority="216" operator="equal">
      <formula>0</formula>
    </cfRule>
    <cfRule type="cellIs" dxfId="141" priority="214" operator="lessThan">
      <formula>0</formula>
    </cfRule>
    <cfRule type="cellIs" dxfId="140" priority="215" operator="greaterThan">
      <formula>0</formula>
    </cfRule>
  </conditionalFormatting>
  <conditionalFormatting sqref="Q183:R183">
    <cfRule type="cellIs" dxfId="139" priority="211" operator="lessThan">
      <formula>0</formula>
    </cfRule>
    <cfRule type="cellIs" dxfId="138" priority="212" operator="greaterThan">
      <formula>0</formula>
    </cfRule>
    <cfRule type="cellIs" dxfId="137" priority="213" operator="equal">
      <formula>0</formula>
    </cfRule>
  </conditionalFormatting>
  <conditionalFormatting sqref="Q187:R187">
    <cfRule type="cellIs" dxfId="136" priority="208" operator="lessThan">
      <formula>0</formula>
    </cfRule>
    <cfRule type="cellIs" dxfId="135" priority="210" operator="equal">
      <formula>0</formula>
    </cfRule>
    <cfRule type="cellIs" dxfId="134" priority="209" operator="greaterThan">
      <formula>0</formula>
    </cfRule>
  </conditionalFormatting>
  <conditionalFormatting sqref="Q191:R191">
    <cfRule type="cellIs" dxfId="133" priority="206" operator="greaterThan">
      <formula>0</formula>
    </cfRule>
    <cfRule type="cellIs" dxfId="132" priority="205" operator="lessThan">
      <formula>0</formula>
    </cfRule>
    <cfRule type="cellIs" dxfId="131" priority="207" operator="equal">
      <formula>0</formula>
    </cfRule>
  </conditionalFormatting>
  <conditionalFormatting sqref="Q195:R195">
    <cfRule type="cellIs" dxfId="130" priority="202" operator="lessThan">
      <formula>0</formula>
    </cfRule>
    <cfRule type="cellIs" dxfId="129" priority="203" operator="greaterThan">
      <formula>0</formula>
    </cfRule>
    <cfRule type="cellIs" dxfId="128" priority="204" operator="equal">
      <formula>0</formula>
    </cfRule>
  </conditionalFormatting>
  <conditionalFormatting sqref="Q199:R199">
    <cfRule type="cellIs" dxfId="127" priority="199" operator="lessThan">
      <formula>0</formula>
    </cfRule>
    <cfRule type="cellIs" dxfId="126" priority="201" operator="equal">
      <formula>0</formula>
    </cfRule>
    <cfRule type="cellIs" dxfId="125" priority="200" operator="greaterThan">
      <formula>0</formula>
    </cfRule>
  </conditionalFormatting>
  <conditionalFormatting sqref="Q203:R203">
    <cfRule type="cellIs" dxfId="124" priority="198" operator="equal">
      <formula>0</formula>
    </cfRule>
    <cfRule type="cellIs" dxfId="123" priority="196" operator="lessThan">
      <formula>0</formula>
    </cfRule>
    <cfRule type="cellIs" dxfId="122" priority="197" operator="greaterThan">
      <formula>0</formula>
    </cfRule>
  </conditionalFormatting>
  <conditionalFormatting sqref="Q207:R207">
    <cfRule type="cellIs" dxfId="121" priority="195" operator="equal">
      <formula>0</formula>
    </cfRule>
    <cfRule type="cellIs" dxfId="120" priority="193" operator="lessThan">
      <formula>0</formula>
    </cfRule>
    <cfRule type="cellIs" dxfId="119" priority="194" operator="greaterThan">
      <formula>0</formula>
    </cfRule>
  </conditionalFormatting>
  <conditionalFormatting sqref="Q211:R211">
    <cfRule type="cellIs" dxfId="118" priority="190" operator="lessThan">
      <formula>0</formula>
    </cfRule>
    <cfRule type="cellIs" dxfId="117" priority="191" operator="greaterThan">
      <formula>0</formula>
    </cfRule>
    <cfRule type="cellIs" dxfId="116" priority="192" operator="equal">
      <formula>0</formula>
    </cfRule>
  </conditionalFormatting>
  <conditionalFormatting sqref="Q215:R215">
    <cfRule type="cellIs" dxfId="115" priority="188" operator="greaterThan">
      <formula>0</formula>
    </cfRule>
    <cfRule type="cellIs" dxfId="114" priority="189" operator="equal">
      <formula>0</formula>
    </cfRule>
    <cfRule type="cellIs" dxfId="113" priority="187" operator="lessThan">
      <formula>0</formula>
    </cfRule>
  </conditionalFormatting>
  <conditionalFormatting sqref="Q219:R219">
    <cfRule type="cellIs" dxfId="112" priority="186" operator="equal">
      <formula>0</formula>
    </cfRule>
    <cfRule type="cellIs" dxfId="111" priority="184" operator="lessThan">
      <formula>0</formula>
    </cfRule>
    <cfRule type="cellIs" dxfId="110" priority="185" operator="greaterThan">
      <formula>0</formula>
    </cfRule>
  </conditionalFormatting>
  <conditionalFormatting sqref="Q223:R223">
    <cfRule type="cellIs" dxfId="109" priority="181" operator="lessThan">
      <formula>0</formula>
    </cfRule>
    <cfRule type="cellIs" dxfId="108" priority="182" operator="greaterThan">
      <formula>0</formula>
    </cfRule>
    <cfRule type="cellIs" dxfId="107" priority="183" operator="equal">
      <formula>0</formula>
    </cfRule>
  </conditionalFormatting>
  <conditionalFormatting sqref="Q227:R227">
    <cfRule type="cellIs" dxfId="106" priority="178" operator="lessThan">
      <formula>0</formula>
    </cfRule>
    <cfRule type="cellIs" dxfId="105" priority="179" operator="greaterThan">
      <formula>0</formula>
    </cfRule>
    <cfRule type="cellIs" dxfId="104" priority="180" operator="equal">
      <formula>0</formula>
    </cfRule>
  </conditionalFormatting>
  <conditionalFormatting sqref="Q231:R231">
    <cfRule type="cellIs" dxfId="103" priority="177" operator="equal">
      <formula>0</formula>
    </cfRule>
    <cfRule type="cellIs" dxfId="102" priority="176" operator="greaterThan">
      <formula>0</formula>
    </cfRule>
    <cfRule type="cellIs" dxfId="101" priority="175" operator="lessThan">
      <formula>0</formula>
    </cfRule>
  </conditionalFormatting>
  <conditionalFormatting sqref="Q235:R235">
    <cfRule type="cellIs" dxfId="100" priority="172" operator="lessThan">
      <formula>0</formula>
    </cfRule>
    <cfRule type="cellIs" dxfId="99" priority="174" operator="equal">
      <formula>0</formula>
    </cfRule>
    <cfRule type="cellIs" dxfId="98" priority="173" operator="greaterThan">
      <formula>0</formula>
    </cfRule>
  </conditionalFormatting>
  <conditionalFormatting sqref="Q239:R239">
    <cfRule type="cellIs" dxfId="97" priority="170" operator="greaterThan">
      <formula>0</formula>
    </cfRule>
    <cfRule type="cellIs" dxfId="96" priority="171" operator="equal">
      <formula>0</formula>
    </cfRule>
    <cfRule type="cellIs" dxfId="95" priority="169" operator="lessThan">
      <formula>0</formula>
    </cfRule>
  </conditionalFormatting>
  <conditionalFormatting sqref="Q243:R243">
    <cfRule type="cellIs" dxfId="94" priority="166" operator="lessThan">
      <formula>0</formula>
    </cfRule>
    <cfRule type="cellIs" dxfId="93" priority="167" operator="greaterThan">
      <formula>0</formula>
    </cfRule>
    <cfRule type="cellIs" dxfId="92" priority="168" operator="equal">
      <formula>0</formula>
    </cfRule>
  </conditionalFormatting>
  <conditionalFormatting sqref="Q248:R248">
    <cfRule type="cellIs" dxfId="91" priority="164" operator="greaterThan">
      <formula>0</formula>
    </cfRule>
    <cfRule type="cellIs" dxfId="90" priority="165" operator="equal">
      <formula>0</formula>
    </cfRule>
    <cfRule type="cellIs" dxfId="89" priority="163" operator="lessThan">
      <formula>0</formula>
    </cfRule>
  </conditionalFormatting>
  <conditionalFormatting sqref="Q253:R253">
    <cfRule type="cellIs" dxfId="88" priority="162" operator="equal">
      <formula>0</formula>
    </cfRule>
    <cfRule type="cellIs" dxfId="87" priority="161" operator="greaterThan">
      <formula>0</formula>
    </cfRule>
    <cfRule type="cellIs" dxfId="86" priority="160" operator="lessThan">
      <formula>0</formula>
    </cfRule>
  </conditionalFormatting>
  <conditionalFormatting sqref="Q258:R258">
    <cfRule type="cellIs" dxfId="85" priority="159" operator="equal">
      <formula>0</formula>
    </cfRule>
    <cfRule type="cellIs" dxfId="84" priority="157" operator="lessThan">
      <formula>0</formula>
    </cfRule>
    <cfRule type="cellIs" dxfId="83" priority="158" operator="greaterThan">
      <formula>0</formula>
    </cfRule>
  </conditionalFormatting>
  <conditionalFormatting sqref="Q263:R263">
    <cfRule type="cellIs" dxfId="82" priority="156" operator="equal">
      <formula>0</formula>
    </cfRule>
    <cfRule type="cellIs" dxfId="81" priority="155" operator="greaterThan">
      <formula>0</formula>
    </cfRule>
    <cfRule type="cellIs" dxfId="80" priority="154" operator="lessThan">
      <formula>0</formula>
    </cfRule>
  </conditionalFormatting>
  <conditionalFormatting sqref="Q267:R267">
    <cfRule type="cellIs" dxfId="79" priority="149" operator="greaterThan">
      <formula>0</formula>
    </cfRule>
    <cfRule type="cellIs" dxfId="78" priority="148" operator="lessThan">
      <formula>0</formula>
    </cfRule>
    <cfRule type="cellIs" dxfId="77" priority="150" operator="equal">
      <formula>0</formula>
    </cfRule>
  </conditionalFormatting>
  <conditionalFormatting sqref="Q271:R271">
    <cfRule type="cellIs" dxfId="76" priority="146" operator="greaterThan">
      <formula>0</formula>
    </cfRule>
    <cfRule type="cellIs" dxfId="75" priority="145" operator="lessThan">
      <formula>0</formula>
    </cfRule>
    <cfRule type="cellIs" dxfId="74" priority="147" operator="equal">
      <formula>0</formula>
    </cfRule>
  </conditionalFormatting>
  <conditionalFormatting sqref="Q275:R275">
    <cfRule type="cellIs" dxfId="73" priority="144" operator="equal">
      <formula>0</formula>
    </cfRule>
    <cfRule type="cellIs" dxfId="72" priority="143" operator="greaterThan">
      <formula>0</formula>
    </cfRule>
    <cfRule type="cellIs" dxfId="71" priority="142" operator="lessThan">
      <formula>0</formula>
    </cfRule>
  </conditionalFormatting>
  <conditionalFormatting sqref="Q279:R279">
    <cfRule type="cellIs" dxfId="70" priority="141" operator="equal">
      <formula>0</formula>
    </cfRule>
    <cfRule type="cellIs" dxfId="69" priority="140" operator="greaterThan">
      <formula>0</formula>
    </cfRule>
    <cfRule type="cellIs" dxfId="68" priority="139" operator="lessThan">
      <formula>0</formula>
    </cfRule>
  </conditionalFormatting>
  <conditionalFormatting sqref="Q283:R283">
    <cfRule type="cellIs" dxfId="67" priority="138" operator="equal">
      <formula>0</formula>
    </cfRule>
    <cfRule type="cellIs" dxfId="66" priority="137" operator="greaterThan">
      <formula>0</formula>
    </cfRule>
    <cfRule type="cellIs" dxfId="65" priority="136" operator="lessThan">
      <formula>0</formula>
    </cfRule>
  </conditionalFormatting>
  <conditionalFormatting sqref="Q287:R287">
    <cfRule type="cellIs" dxfId="64" priority="135" operator="equal">
      <formula>0</formula>
    </cfRule>
    <cfRule type="cellIs" dxfId="63" priority="134" operator="greaterThan">
      <formula>0</formula>
    </cfRule>
    <cfRule type="cellIs" dxfId="62" priority="133" operator="lessThan">
      <formula>0</formula>
    </cfRule>
  </conditionalFormatting>
  <conditionalFormatting sqref="Q291:R291">
    <cfRule type="cellIs" dxfId="61" priority="132" operator="equal">
      <formula>0</formula>
    </cfRule>
    <cfRule type="cellIs" dxfId="60" priority="131" operator="greaterThan">
      <formula>0</formula>
    </cfRule>
    <cfRule type="cellIs" dxfId="59" priority="130" operator="lessThan">
      <formula>0</formula>
    </cfRule>
  </conditionalFormatting>
  <conditionalFormatting sqref="Q296:R296">
    <cfRule type="cellIs" dxfId="58" priority="129" operator="equal">
      <formula>0</formula>
    </cfRule>
    <cfRule type="cellIs" dxfId="57" priority="128" operator="greaterThan">
      <formula>0</formula>
    </cfRule>
    <cfRule type="cellIs" dxfId="56" priority="127" operator="lessThan">
      <formula>0</formula>
    </cfRule>
  </conditionalFormatting>
  <conditionalFormatting sqref="Q301:R301">
    <cfRule type="cellIs" dxfId="55" priority="126" operator="equal">
      <formula>0</formula>
    </cfRule>
    <cfRule type="cellIs" dxfId="54" priority="125" operator="greaterThan">
      <formula>0</formula>
    </cfRule>
    <cfRule type="cellIs" dxfId="53" priority="124" operator="lessThan">
      <formula>0</formula>
    </cfRule>
  </conditionalFormatting>
  <conditionalFormatting sqref="Q306:R306">
    <cfRule type="cellIs" dxfId="52" priority="123" operator="equal">
      <formula>0</formula>
    </cfRule>
    <cfRule type="cellIs" dxfId="51" priority="122" operator="greaterThan">
      <formula>0</formula>
    </cfRule>
    <cfRule type="cellIs" dxfId="50" priority="121" operator="lessThan">
      <formula>0</formula>
    </cfRule>
  </conditionalFormatting>
  <conditionalFormatting sqref="Q311:R311">
    <cfRule type="cellIs" dxfId="49" priority="120" operator="equal">
      <formula>0</formula>
    </cfRule>
    <cfRule type="cellIs" dxfId="48" priority="119" operator="greaterThan">
      <formula>0</formula>
    </cfRule>
    <cfRule type="cellIs" dxfId="47" priority="118" operator="lessThan">
      <formula>0</formula>
    </cfRule>
  </conditionalFormatting>
  <conditionalFormatting sqref="Q315:R315">
    <cfRule type="cellIs" dxfId="46" priority="114" operator="equal">
      <formula>0</formula>
    </cfRule>
    <cfRule type="cellIs" dxfId="45" priority="113" operator="greaterThan">
      <formula>0</formula>
    </cfRule>
    <cfRule type="cellIs" dxfId="44" priority="112" operator="lessThan">
      <formula>0</formula>
    </cfRule>
  </conditionalFormatting>
  <conditionalFormatting sqref="Q319:R319">
    <cfRule type="cellIs" dxfId="43" priority="111" operator="equal">
      <formula>0</formula>
    </cfRule>
    <cfRule type="cellIs" dxfId="42" priority="110" operator="greaterThan">
      <formula>0</formula>
    </cfRule>
    <cfRule type="cellIs" dxfId="41" priority="109" operator="lessThan">
      <formula>0</formula>
    </cfRule>
  </conditionalFormatting>
  <conditionalFormatting sqref="Q324:R324">
    <cfRule type="cellIs" dxfId="40" priority="108" operator="equal">
      <formula>0</formula>
    </cfRule>
    <cfRule type="cellIs" dxfId="39" priority="107" operator="greaterThan">
      <formula>0</formula>
    </cfRule>
    <cfRule type="cellIs" dxfId="38" priority="106" operator="lessThan">
      <formula>0</formula>
    </cfRule>
  </conditionalFormatting>
  <conditionalFormatting sqref="Q329:R329">
    <cfRule type="cellIs" dxfId="37" priority="105" operator="equal">
      <formula>0</formula>
    </cfRule>
    <cfRule type="cellIs" dxfId="36" priority="104" operator="greaterThan">
      <formula>0</formula>
    </cfRule>
    <cfRule type="cellIs" dxfId="35" priority="103" operator="lessThan">
      <formula>0</formula>
    </cfRule>
  </conditionalFormatting>
  <conditionalFormatting sqref="Q334:R334">
    <cfRule type="cellIs" dxfId="34" priority="102" operator="equal">
      <formula>0</formula>
    </cfRule>
    <cfRule type="cellIs" dxfId="33" priority="101" operator="greaterThan">
      <formula>0</formula>
    </cfRule>
    <cfRule type="cellIs" dxfId="32" priority="100" operator="lessThan">
      <formula>0</formula>
    </cfRule>
  </conditionalFormatting>
  <conditionalFormatting sqref="Q344:R344">
    <cfRule type="cellIs" dxfId="31" priority="93" operator="equal">
      <formula>0</formula>
    </cfRule>
    <cfRule type="cellIs" dxfId="30" priority="92" operator="greaterThan">
      <formula>0</formula>
    </cfRule>
    <cfRule type="cellIs" dxfId="29" priority="91" operator="lessThan">
      <formula>0</formula>
    </cfRule>
  </conditionalFormatting>
  <conditionalFormatting sqref="Q349:R349">
    <cfRule type="cellIs" dxfId="28" priority="90" operator="equal">
      <formula>0</formula>
    </cfRule>
    <cfRule type="cellIs" dxfId="27" priority="89" operator="greaterThan">
      <formula>0</formula>
    </cfRule>
    <cfRule type="cellIs" dxfId="26" priority="88" operator="lessThan">
      <formula>0</formula>
    </cfRule>
  </conditionalFormatting>
  <conditionalFormatting sqref="Q354:R354">
    <cfRule type="cellIs" dxfId="25" priority="87" operator="equal">
      <formula>0</formula>
    </cfRule>
    <cfRule type="cellIs" dxfId="24" priority="86" operator="greaterThan">
      <formula>0</formula>
    </cfRule>
    <cfRule type="cellIs" dxfId="23" priority="85" operator="lessThan">
      <formula>0</formula>
    </cfRule>
  </conditionalFormatting>
  <conditionalFormatting sqref="Q359:R359">
    <cfRule type="cellIs" dxfId="22" priority="82" operator="lessThan">
      <formula>0</formula>
    </cfRule>
    <cfRule type="cellIs" dxfId="21" priority="84" operator="equal">
      <formula>0</formula>
    </cfRule>
    <cfRule type="cellIs" dxfId="20" priority="83" operator="greaterThan">
      <formula>0</formula>
    </cfRule>
  </conditionalFormatting>
  <conditionalFormatting sqref="R16">
    <cfRule type="cellIs" dxfId="19" priority="337" operator="lessThan">
      <formula>0</formula>
    </cfRule>
    <cfRule type="cellIs" dxfId="18" priority="338" operator="greaterThan">
      <formula>0</formula>
    </cfRule>
    <cfRule type="cellIs" dxfId="17" priority="339" operator="equal">
      <formula>0</formula>
    </cfRule>
  </conditionalFormatting>
  <conditionalFormatting sqref="R87">
    <cfRule type="cellIs" dxfId="16" priority="283" operator="lessThan">
      <formula>0</formula>
    </cfRule>
    <cfRule type="cellIs" dxfId="15" priority="284" operator="greaterThan">
      <formula>0</formula>
    </cfRule>
    <cfRule type="cellIs" dxfId="14" priority="285" operator="equal">
      <formula>0</formula>
    </cfRule>
  </conditionalFormatting>
  <conditionalFormatting sqref="R175:R176">
    <cfRule type="cellIs" dxfId="13" priority="218" operator="greaterThan">
      <formula>0</formula>
    </cfRule>
    <cfRule type="cellIs" dxfId="12" priority="217" operator="lessThan">
      <formula>0</formula>
    </cfRule>
    <cfRule type="cellIs" dxfId="11" priority="219" operator="equal">
      <formula>0</formula>
    </cfRule>
  </conditionalFormatting>
  <conditionalFormatting sqref="R338">
    <cfRule type="cellIs" dxfId="10" priority="343" operator="lessThan">
      <formula>0.15</formula>
    </cfRule>
    <cfRule type="cellIs" dxfId="9" priority="344" operator="greaterThan">
      <formula>0.15</formula>
    </cfRule>
  </conditionalFormatting>
  <conditionalFormatting sqref="R340:R341">
    <cfRule type="cellIs" dxfId="8" priority="96" operator="equal">
      <formula>0</formula>
    </cfRule>
    <cfRule type="cellIs" dxfId="7" priority="95" operator="greaterThan">
      <formula>0</formula>
    </cfRule>
    <cfRule type="cellIs" dxfId="6" priority="94" operator="lessThan">
      <formula>0</formula>
    </cfRule>
  </conditionalFormatting>
  <hyperlinks>
    <hyperlink ref="F368" location="'3 Investitionskosten'!A1" display="Seitenanfang / haut de page / inizio pagina" xr:uid="{EFBE1227-87C9-454B-BD88-1CC9651BCC59}"/>
    <hyperlink ref="B367:F367" location="'3 Investitionskosten'!A1" display="Seitenanfang / haut de page / inizio pagina" xr:uid="{0D8090C2-19A8-49CC-BBBB-AC97E044E15E}"/>
    <hyperlink ref="R1" location="'START, DÉBUT, INIZIO'!A1" display="START / DÉBUT / INIZIO" xr:uid="{D13984FE-72CB-4FB4-865E-8DF5806C7DDB}"/>
  </hyperlinks>
  <pageMargins left="0.78740157480314965" right="0.78740157480314965" top="0.59055118110236227" bottom="0.78740157480314965" header="0.31496062992125984" footer="0.31496062992125984"/>
  <pageSetup scale="52" fitToHeight="0" orientation="landscape" r:id="rId1"/>
  <headerFooter>
    <oddFooter>&amp;L&amp;"Arial,Standard"&amp;9Druckdatum: &amp;D&amp;R&amp;"Arial,Standard"&amp;9Seite &amp;P von &amp;N</oddFooter>
  </headerFooter>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B2F93BE2-7224-42AB-88D8-BC76A6D77D9B}">
          <x14:formula1>
            <xm:f>DropDown!$C$21:$C$22</xm:f>
          </x14:formula1>
          <xm:sqref>O5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66F4D-F9A3-47CF-A777-61F1D4BD034C}">
  <sheetPr>
    <tabColor rgb="FFFFC000"/>
  </sheetPr>
  <dimension ref="A1:R92"/>
  <sheetViews>
    <sheetView showGridLines="0" zoomScaleNormal="100" workbookViewId="0">
      <selection activeCell="D86" sqref="D86"/>
    </sheetView>
  </sheetViews>
  <sheetFormatPr baseColWidth="10" defaultRowHeight="12.75" x14ac:dyDescent="0.2"/>
  <cols>
    <col min="1" max="1" width="7" customWidth="1"/>
    <col min="2" max="2" width="80.85546875" customWidth="1"/>
    <col min="3" max="3" width="6.28515625" customWidth="1"/>
    <col min="4" max="4" width="16.85546875" customWidth="1"/>
    <col min="5" max="5" width="22.7109375" bestFit="1" customWidth="1"/>
    <col min="6" max="6" width="13.28515625" customWidth="1"/>
    <col min="7" max="7" width="15.42578125" customWidth="1"/>
    <col min="8" max="8" width="17.140625" customWidth="1"/>
    <col min="9" max="9" width="11.140625" customWidth="1"/>
    <col min="10" max="10" width="15.42578125" customWidth="1"/>
    <col min="11" max="11" width="16.7109375" customWidth="1"/>
    <col min="12" max="12" width="13.42578125" customWidth="1"/>
    <col min="13" max="14" width="16.140625" customWidth="1"/>
    <col min="15" max="15" width="12.42578125" customWidth="1"/>
    <col min="16" max="17" width="15.28515625" customWidth="1"/>
    <col min="18" max="18" width="12.28515625" customWidth="1"/>
    <col min="21" max="21" width="12" customWidth="1"/>
    <col min="22" max="22" width="4.5703125" customWidth="1"/>
    <col min="24" max="24" width="14.42578125" customWidth="1"/>
    <col min="25" max="25" width="10.7109375" customWidth="1"/>
    <col min="27" max="27" width="16.28515625" customWidth="1"/>
  </cols>
  <sheetData>
    <row r="1" spans="1:18" ht="15.75" customHeight="1" x14ac:dyDescent="0.2">
      <c r="A1" s="1" t="str">
        <f ca="1">DropDown!$A$2</f>
        <v>Neuanlage</v>
      </c>
      <c r="D1" s="901" t="s">
        <v>1582</v>
      </c>
    </row>
    <row r="2" spans="1:18" x14ac:dyDescent="0.2">
      <c r="A2" s="1" t="str">
        <f ca="1">DropDown!$A$7</f>
        <v>steuerbar &amp; &gt; 3 MWbr</v>
      </c>
      <c r="D2" s="901"/>
    </row>
    <row r="3" spans="1:18" s="236" customFormat="1" ht="15.75" customHeight="1" thickBot="1" x14ac:dyDescent="0.25">
      <c r="A3" s="279">
        <f>'START, DÉBUT, INIZIO'!$C$21</f>
        <v>0</v>
      </c>
      <c r="B3" s="237"/>
      <c r="C3" s="237"/>
      <c r="D3" s="237"/>
      <c r="E3" s="237"/>
      <c r="F3" s="237"/>
      <c r="G3" s="237"/>
      <c r="H3" s="237"/>
      <c r="I3" s="237"/>
      <c r="J3" s="237"/>
      <c r="K3" s="237"/>
      <c r="L3" s="237"/>
      <c r="M3" s="237"/>
      <c r="N3" s="237"/>
      <c r="O3" s="237"/>
      <c r="P3" s="237"/>
      <c r="Q3" s="237"/>
      <c r="R3" s="237"/>
    </row>
    <row r="4" spans="1:18" s="236" customFormat="1" ht="25.5" customHeight="1" x14ac:dyDescent="0.2">
      <c r="A4" s="684">
        <v>4.0999999999999996</v>
      </c>
      <c r="B4" s="684" t="str">
        <f ca="1">OFFSET(Sprachen!A405,0,'START, DÉBUT, INIZIO'!$D$4-1,1,1)</f>
        <v>Jahreskosten</v>
      </c>
      <c r="C4" s="686"/>
      <c r="D4" s="686"/>
      <c r="E4" s="686"/>
      <c r="F4" s="686"/>
      <c r="G4" s="686"/>
      <c r="H4" s="686"/>
      <c r="I4" s="686"/>
      <c r="J4" s="686"/>
      <c r="K4" s="686"/>
      <c r="L4" s="686"/>
      <c r="M4" s="686"/>
      <c r="N4" s="686"/>
      <c r="O4" s="686"/>
      <c r="P4" s="686"/>
      <c r="Q4" s="686"/>
      <c r="R4" s="686"/>
    </row>
    <row r="5" spans="1:18" ht="26.1" customHeight="1" x14ac:dyDescent="0.2">
      <c r="A5" s="12" t="str">
        <f ca="1">OFFSET(Sprachen!A406,0,'START, DÉBUT, INIZIO'!$D$4-1,1,1)</f>
        <v>Investitionsbedingte Kosten für Kapital (Abschreibung + EK + FK)</v>
      </c>
      <c r="B5" s="268"/>
      <c r="C5" s="268"/>
      <c r="D5" s="3"/>
      <c r="E5" s="269"/>
      <c r="F5" s="269"/>
      <c r="G5" s="269"/>
      <c r="I5" s="1"/>
    </row>
    <row r="6" spans="1:18" x14ac:dyDescent="0.2">
      <c r="C6" s="306">
        <v>1</v>
      </c>
      <c r="D6" s="308">
        <f>'3 Investitionskosten'!$W$13</f>
        <v>0</v>
      </c>
      <c r="E6" s="312" t="s">
        <v>123</v>
      </c>
      <c r="F6" s="309" t="str">
        <f ca="1">OFFSET(Sprachen!A407,0,'START, DÉBUT, INIZIO'!$D$4-1,1,1)</f>
        <v>Anrechenbare Annuität</v>
      </c>
    </row>
    <row r="7" spans="1:18" ht="13.5" thickBot="1" x14ac:dyDescent="0.25">
      <c r="A7" s="271"/>
      <c r="B7" s="271"/>
      <c r="C7" s="271"/>
      <c r="D7" s="271"/>
      <c r="E7" s="271"/>
      <c r="F7" s="271"/>
      <c r="G7" s="271"/>
      <c r="H7" s="271"/>
      <c r="I7" s="271"/>
      <c r="J7" s="271"/>
      <c r="K7" s="271"/>
      <c r="L7" s="271"/>
      <c r="M7" s="271"/>
      <c r="N7" s="271"/>
      <c r="O7" s="271"/>
      <c r="P7" s="271"/>
      <c r="Q7" s="271"/>
      <c r="R7" s="271"/>
    </row>
    <row r="8" spans="1:18" ht="26.1" customHeight="1" x14ac:dyDescent="0.2">
      <c r="A8" s="12" t="str">
        <f ca="1">OFFSET(Sprachen!A408,0,'START, DÉBUT, INIZIO'!$D$4-1,1,1)</f>
        <v>Investitionsbedingte Kosten für Betrieb</v>
      </c>
      <c r="B8" s="268"/>
      <c r="C8" s="268"/>
      <c r="D8" s="3"/>
      <c r="E8" s="318"/>
      <c r="F8" s="1" t="str">
        <f ca="1">OFFSET(Sprachen!A412,0,'START, DÉBUT, INIZIO'!$D$4-1,1,1)</f>
        <v>Beschreibung</v>
      </c>
      <c r="G8" s="269"/>
      <c r="I8" s="1"/>
    </row>
    <row r="9" spans="1:18" x14ac:dyDescent="0.2">
      <c r="C9" s="306">
        <v>1</v>
      </c>
      <c r="D9" s="790"/>
      <c r="E9" s="310" t="s">
        <v>123</v>
      </c>
      <c r="F9" s="902"/>
      <c r="G9" s="902"/>
      <c r="H9" s="902"/>
      <c r="I9" s="902"/>
      <c r="J9" s="902"/>
      <c r="K9" s="902"/>
      <c r="L9" s="902"/>
      <c r="M9" s="902"/>
      <c r="N9" s="902"/>
      <c r="O9" s="902"/>
      <c r="P9" s="902"/>
      <c r="Q9" s="902"/>
      <c r="R9" s="902"/>
    </row>
    <row r="10" spans="1:18" x14ac:dyDescent="0.2">
      <c r="C10" s="307">
        <f t="shared" ref="C10:C17" si="0">C9+1</f>
        <v>2</v>
      </c>
      <c r="D10" s="790"/>
      <c r="E10" s="310" t="s">
        <v>123</v>
      </c>
      <c r="F10" s="902"/>
      <c r="G10" s="902"/>
      <c r="H10" s="902"/>
      <c r="I10" s="902"/>
      <c r="J10" s="902"/>
      <c r="K10" s="902"/>
      <c r="L10" s="902"/>
      <c r="M10" s="902"/>
      <c r="N10" s="902"/>
      <c r="O10" s="902"/>
      <c r="P10" s="902"/>
      <c r="Q10" s="902"/>
      <c r="R10" s="902"/>
    </row>
    <row r="11" spans="1:18" x14ac:dyDescent="0.2">
      <c r="C11" s="307">
        <f t="shared" si="0"/>
        <v>3</v>
      </c>
      <c r="D11" s="790"/>
      <c r="E11" s="310" t="s">
        <v>123</v>
      </c>
      <c r="F11" s="902"/>
      <c r="G11" s="902"/>
      <c r="H11" s="902"/>
      <c r="I11" s="902"/>
      <c r="J11" s="902"/>
      <c r="K11" s="902"/>
      <c r="L11" s="902"/>
      <c r="M11" s="902"/>
      <c r="N11" s="902"/>
      <c r="O11" s="902"/>
      <c r="P11" s="902"/>
      <c r="Q11" s="902"/>
      <c r="R11" s="902"/>
    </row>
    <row r="12" spans="1:18" x14ac:dyDescent="0.2">
      <c r="C12" s="307">
        <f t="shared" si="0"/>
        <v>4</v>
      </c>
      <c r="D12" s="790"/>
      <c r="E12" s="310" t="s">
        <v>123</v>
      </c>
      <c r="F12" s="902"/>
      <c r="G12" s="902"/>
      <c r="H12" s="902"/>
      <c r="I12" s="902"/>
      <c r="J12" s="902"/>
      <c r="K12" s="902"/>
      <c r="L12" s="902"/>
      <c r="M12" s="902"/>
      <c r="N12" s="902"/>
      <c r="O12" s="902"/>
      <c r="P12" s="902"/>
      <c r="Q12" s="902"/>
      <c r="R12" s="902"/>
    </row>
    <row r="13" spans="1:18" x14ac:dyDescent="0.2">
      <c r="C13" s="307">
        <f t="shared" si="0"/>
        <v>5</v>
      </c>
      <c r="D13" s="790"/>
      <c r="E13" s="310" t="s">
        <v>123</v>
      </c>
      <c r="F13" s="902"/>
      <c r="G13" s="902"/>
      <c r="H13" s="902"/>
      <c r="I13" s="902"/>
      <c r="J13" s="902"/>
      <c r="K13" s="902"/>
      <c r="L13" s="902"/>
      <c r="M13" s="902"/>
      <c r="N13" s="902"/>
      <c r="O13" s="902"/>
      <c r="P13" s="902"/>
      <c r="Q13" s="902"/>
      <c r="R13" s="902"/>
    </row>
    <row r="14" spans="1:18" x14ac:dyDescent="0.2">
      <c r="C14" s="307">
        <f t="shared" si="0"/>
        <v>6</v>
      </c>
      <c r="D14" s="790"/>
      <c r="E14" s="310" t="s">
        <v>123</v>
      </c>
      <c r="F14" s="902"/>
      <c r="G14" s="902"/>
      <c r="H14" s="902"/>
      <c r="I14" s="902"/>
      <c r="J14" s="902"/>
      <c r="K14" s="902"/>
      <c r="L14" s="902"/>
      <c r="M14" s="902"/>
      <c r="N14" s="902"/>
      <c r="O14" s="902"/>
      <c r="P14" s="902"/>
      <c r="Q14" s="902"/>
      <c r="R14" s="902"/>
    </row>
    <row r="15" spans="1:18" x14ac:dyDescent="0.2">
      <c r="C15" s="5">
        <f t="shared" si="0"/>
        <v>7</v>
      </c>
      <c r="D15" s="6">
        <f>SUM(D9:D14)</f>
        <v>0</v>
      </c>
      <c r="E15" s="310" t="s">
        <v>123</v>
      </c>
      <c r="F15" s="1" t="str">
        <f ca="1">OFFSET(Sprachen!A413,0,'START, DÉBUT, INIZIO'!$D$4-1,1,1)</f>
        <v>Total</v>
      </c>
    </row>
    <row r="16" spans="1:18" x14ac:dyDescent="0.2">
      <c r="C16" s="5">
        <f t="shared" si="0"/>
        <v>8</v>
      </c>
      <c r="D16" s="6">
        <f>0.02*'3 Investitionskosten'!$N$13</f>
        <v>0</v>
      </c>
      <c r="E16" s="310" t="s">
        <v>123</v>
      </c>
      <c r="F16" s="1" t="str">
        <f ca="1">OFFSET(Sprachen!A414,0,'START, DÉBUT, INIZIO'!$D$4-1,1,1)</f>
        <v>entsprechen 2% der anrechenbaren Investitionen</v>
      </c>
    </row>
    <row r="17" spans="1:18" ht="19.5" customHeight="1" x14ac:dyDescent="0.2">
      <c r="C17" s="5">
        <f t="shared" si="0"/>
        <v>9</v>
      </c>
      <c r="D17" s="308">
        <f>IF(D15&lt;D16,D15,D16)</f>
        <v>0</v>
      </c>
      <c r="E17" s="311" t="s">
        <v>123</v>
      </c>
      <c r="F17" s="309" t="str">
        <f ca="1">OFFSET(Sprachen!A415,0,'START, DÉBUT, INIZIO'!$D$4-1,1,1)</f>
        <v>anrechenbare Betriebskosten</v>
      </c>
    </row>
    <row r="18" spans="1:18" ht="13.5" thickBot="1" x14ac:dyDescent="0.25">
      <c r="A18" s="271"/>
      <c r="B18" s="271"/>
      <c r="C18" s="271"/>
      <c r="D18" s="271"/>
      <c r="E18" s="271"/>
      <c r="F18" s="271"/>
      <c r="G18" s="271"/>
      <c r="H18" s="271"/>
      <c r="I18" s="271"/>
      <c r="J18" s="271"/>
      <c r="K18" s="271"/>
      <c r="L18" s="271"/>
      <c r="M18" s="271"/>
      <c r="N18" s="271"/>
      <c r="O18" s="271"/>
      <c r="P18" s="271"/>
      <c r="Q18" s="271"/>
      <c r="R18" s="271"/>
    </row>
    <row r="19" spans="1:18" ht="26.1" customHeight="1" x14ac:dyDescent="0.2">
      <c r="A19" s="12" t="str">
        <f ca="1">OFFSET(Sprachen!A416,0,'START, DÉBUT, INIZIO'!$D$4-1,1,1)</f>
        <v>Investitionsbedingte Kosten für Energiebewirtschaftung und -verwertung</v>
      </c>
      <c r="B19" s="268"/>
      <c r="C19" s="268"/>
      <c r="D19" s="3"/>
      <c r="E19" s="269"/>
      <c r="F19" s="1" t="str">
        <f ca="1">F8</f>
        <v>Beschreibung</v>
      </c>
      <c r="G19" s="269"/>
      <c r="I19" s="1"/>
    </row>
    <row r="20" spans="1:18" x14ac:dyDescent="0.2">
      <c r="B20" s="1" t="str">
        <f ca="1">OFFSET(Sprachen!A417,0,'START, DÉBUT, INIZIO'!$D$4-1,1,1)</f>
        <v>Anspruch</v>
      </c>
      <c r="C20" s="306">
        <v>1</v>
      </c>
      <c r="D20" s="3" t="str">
        <f>IF('2 Techn. Angaben &amp; Produktion'!$H$10&gt;=3,"ja","nein")</f>
        <v>nein</v>
      </c>
      <c r="E20" s="269"/>
      <c r="F20" s="900" t="str">
        <f ca="1">OFFSET(Sprachen!A423,0,'START, DÉBUT, INIZIO'!$D$4-1,1,1)</f>
        <v>Anspruch haben nur Anlagen, welche nach der Investition eine mechanische Bruttoleistung &gt; 3 MW haben.</v>
      </c>
      <c r="G20" s="900"/>
      <c r="H20" s="900"/>
      <c r="I20" s="900"/>
      <c r="J20" s="900"/>
      <c r="K20" s="900"/>
      <c r="L20" s="900"/>
      <c r="M20" s="900"/>
      <c r="N20" s="900"/>
      <c r="O20" s="900"/>
      <c r="P20" s="900"/>
      <c r="Q20" s="900"/>
      <c r="R20" s="900"/>
    </row>
    <row r="21" spans="1:18" x14ac:dyDescent="0.2">
      <c r="B21" s="1">
        <f>$A$3</f>
        <v>0</v>
      </c>
      <c r="C21" s="307">
        <f>C20+1</f>
        <v>2</v>
      </c>
      <c r="D21" s="313">
        <f ca="1">OFFSET(Sprachen!A422,0,'START, DÉBUT, INIZIO'!$D$4-1,1,1)</f>
        <v>0</v>
      </c>
      <c r="E21" s="1" t="s">
        <v>132</v>
      </c>
      <c r="F21" s="900" t="str">
        <f ca="1">OFFSET(Sprachen!A424,0,'START, DÉBUT, INIZIO'!$D$4-1,1,1)</f>
        <v>EnFV Anhang 6.1, Ziffer 4.1.1, Buchstabe c</v>
      </c>
      <c r="G21" s="900"/>
      <c r="H21" s="900"/>
      <c r="I21" s="900"/>
      <c r="J21" s="900"/>
      <c r="K21" s="900"/>
      <c r="L21" s="900"/>
      <c r="M21" s="900"/>
      <c r="N21" s="900"/>
      <c r="O21" s="900"/>
      <c r="P21" s="900"/>
      <c r="Q21" s="900"/>
      <c r="R21" s="900"/>
    </row>
    <row r="22" spans="1:18" x14ac:dyDescent="0.2">
      <c r="B22" s="1" t="str">
        <f ca="1">OFFSET(Sprachen!A418,0,'START, DÉBUT, INIZIO'!$D$4-1,1,1)</f>
        <v>Durch Investition bedingte Mehrproduktion netto</v>
      </c>
      <c r="C22" s="307">
        <f>C21+1</f>
        <v>3</v>
      </c>
      <c r="D22" s="6">
        <f>'2 Techn. Angaben &amp; Produktion'!$R$55</f>
        <v>0</v>
      </c>
      <c r="E22" s="1" t="s">
        <v>9</v>
      </c>
    </row>
    <row r="23" spans="1:18" ht="19.5" customHeight="1" x14ac:dyDescent="0.2">
      <c r="C23" s="5">
        <f>C22+1</f>
        <v>4</v>
      </c>
      <c r="D23" s="308">
        <f ca="1">D21*10*D22</f>
        <v>0</v>
      </c>
      <c r="E23" s="309" t="s">
        <v>123</v>
      </c>
      <c r="F23" s="309" t="str">
        <f ca="1">OFFSET(Sprachen!A425,0,'START, DÉBUT, INIZIO'!$D$4-1,1,1)</f>
        <v>anrechenbare Energiebewirtschaftungs- und Verwertungskosten</v>
      </c>
    </row>
    <row r="24" spans="1:18" ht="13.5" thickBot="1" x14ac:dyDescent="0.25">
      <c r="A24" s="271"/>
      <c r="B24" s="271"/>
      <c r="C24" s="271"/>
      <c r="D24" s="271"/>
      <c r="E24" s="271"/>
      <c r="F24" s="271"/>
      <c r="G24" s="271"/>
      <c r="H24" s="271"/>
      <c r="I24" s="271"/>
      <c r="J24" s="271"/>
      <c r="K24" s="271"/>
      <c r="L24" s="271"/>
      <c r="M24" s="271"/>
      <c r="N24" s="271"/>
      <c r="O24" s="271"/>
      <c r="P24" s="271"/>
      <c r="Q24" s="271"/>
      <c r="R24" s="271"/>
    </row>
    <row r="25" spans="1:18" ht="26.1" customHeight="1" x14ac:dyDescent="0.2">
      <c r="A25" s="12" t="str">
        <f ca="1">OFFSET(Sprachen!A426,0,'START, DÉBUT, INIZIO'!$D$4-1,1,1)</f>
        <v>Investitionsbedingte Kosten aus Abgaben und Leistungen an das Gemeinwesen</v>
      </c>
      <c r="B25" s="268"/>
      <c r="C25" s="268"/>
      <c r="D25" s="3"/>
      <c r="E25" s="318"/>
      <c r="F25" s="1" t="str">
        <f ca="1">F19</f>
        <v>Beschreibung</v>
      </c>
      <c r="G25" s="269"/>
      <c r="I25" s="1"/>
    </row>
    <row r="26" spans="1:18" x14ac:dyDescent="0.2">
      <c r="C26" s="306">
        <v>1</v>
      </c>
      <c r="D26" s="6">
        <f>'2 Techn. Angaben &amp; Produktion'!$J$10*1000*'2 Techn. Angaben &amp; Produktion'!$H$30</f>
        <v>0</v>
      </c>
      <c r="E26" s="310" t="s">
        <v>123</v>
      </c>
      <c r="F26" s="902" t="str">
        <f ca="1">OFFSET(Sprachen!A428,0,'START, DÉBUT, INIZIO'!$D$4-1,1,1)</f>
        <v>Wasserzins</v>
      </c>
      <c r="G26" s="902"/>
      <c r="H26" s="902"/>
      <c r="I26" s="902"/>
      <c r="J26" s="902"/>
      <c r="K26" s="902"/>
      <c r="L26" s="902"/>
      <c r="M26" s="902"/>
      <c r="N26" s="902"/>
      <c r="O26" s="902"/>
      <c r="P26" s="902"/>
      <c r="Q26" s="902"/>
      <c r="R26" s="902"/>
    </row>
    <row r="27" spans="1:18" x14ac:dyDescent="0.2">
      <c r="C27" s="307">
        <f t="shared" ref="C27:C32" si="1">C26+1</f>
        <v>2</v>
      </c>
      <c r="D27" s="791"/>
      <c r="E27" s="310" t="s">
        <v>123</v>
      </c>
      <c r="F27" s="902"/>
      <c r="G27" s="902"/>
      <c r="H27" s="902"/>
      <c r="I27" s="902"/>
      <c r="J27" s="902"/>
      <c r="K27" s="902"/>
      <c r="L27" s="902"/>
      <c r="M27" s="902"/>
      <c r="N27" s="902"/>
      <c r="O27" s="902"/>
      <c r="P27" s="902"/>
      <c r="Q27" s="902"/>
      <c r="R27" s="902"/>
    </row>
    <row r="28" spans="1:18" x14ac:dyDescent="0.2">
      <c r="C28" s="307">
        <f t="shared" si="1"/>
        <v>3</v>
      </c>
      <c r="D28" s="792"/>
      <c r="E28" s="310" t="s">
        <v>123</v>
      </c>
      <c r="F28" s="902"/>
      <c r="G28" s="902"/>
      <c r="H28" s="902"/>
      <c r="I28" s="902"/>
      <c r="J28" s="902"/>
      <c r="K28" s="902"/>
      <c r="L28" s="902"/>
      <c r="M28" s="902"/>
      <c r="N28" s="902"/>
      <c r="O28" s="902"/>
      <c r="P28" s="902"/>
      <c r="Q28" s="902"/>
      <c r="R28" s="902"/>
    </row>
    <row r="29" spans="1:18" x14ac:dyDescent="0.2">
      <c r="C29" s="307">
        <f t="shared" si="1"/>
        <v>4</v>
      </c>
      <c r="D29" s="792"/>
      <c r="E29" s="310" t="s">
        <v>123</v>
      </c>
      <c r="F29" s="902"/>
      <c r="G29" s="902"/>
      <c r="H29" s="902"/>
      <c r="I29" s="902"/>
      <c r="J29" s="902"/>
      <c r="K29" s="902"/>
      <c r="L29" s="902"/>
      <c r="M29" s="902"/>
      <c r="N29" s="902"/>
      <c r="O29" s="902"/>
      <c r="P29" s="902"/>
      <c r="Q29" s="902"/>
      <c r="R29" s="902"/>
    </row>
    <row r="30" spans="1:18" x14ac:dyDescent="0.2">
      <c r="C30" s="307">
        <f t="shared" si="1"/>
        <v>5</v>
      </c>
      <c r="D30" s="792"/>
      <c r="E30" s="310" t="s">
        <v>123</v>
      </c>
      <c r="F30" s="902"/>
      <c r="G30" s="902"/>
      <c r="H30" s="902"/>
      <c r="I30" s="902"/>
      <c r="J30" s="902"/>
      <c r="K30" s="902"/>
      <c r="L30" s="902"/>
      <c r="M30" s="902"/>
      <c r="N30" s="902"/>
      <c r="O30" s="902"/>
      <c r="P30" s="902"/>
      <c r="Q30" s="902"/>
      <c r="R30" s="902"/>
    </row>
    <row r="31" spans="1:18" x14ac:dyDescent="0.2">
      <c r="C31" s="307">
        <f t="shared" si="1"/>
        <v>6</v>
      </c>
      <c r="D31" s="792"/>
      <c r="E31" s="310" t="s">
        <v>123</v>
      </c>
      <c r="F31" s="902"/>
      <c r="G31" s="902"/>
      <c r="H31" s="902"/>
      <c r="I31" s="902"/>
      <c r="J31" s="902"/>
      <c r="K31" s="902"/>
      <c r="L31" s="902"/>
      <c r="M31" s="902"/>
      <c r="N31" s="902"/>
      <c r="O31" s="902"/>
      <c r="P31" s="902"/>
      <c r="Q31" s="902"/>
      <c r="R31" s="902"/>
    </row>
    <row r="32" spans="1:18" ht="19.5" customHeight="1" x14ac:dyDescent="0.2">
      <c r="C32" s="5">
        <f t="shared" si="1"/>
        <v>7</v>
      </c>
      <c r="D32" s="308">
        <f>SUM(D26:D31)</f>
        <v>0</v>
      </c>
      <c r="E32" s="309" t="s">
        <v>123</v>
      </c>
      <c r="F32" s="309" t="str">
        <f ca="1">OFFSET(Sprachen!A429,0,'START, DÉBUT, INIZIO'!$D$4-1,1,1)</f>
        <v>Anrechenbare Abgaben und Leistungen an das Gemeinwesen</v>
      </c>
    </row>
    <row r="33" spans="1:18" ht="13.5" thickBot="1" x14ac:dyDescent="0.25">
      <c r="A33" s="271"/>
      <c r="B33" s="271"/>
      <c r="C33" s="271"/>
      <c r="D33" s="271"/>
      <c r="E33" s="271"/>
      <c r="F33" s="271"/>
      <c r="G33" s="271"/>
      <c r="H33" s="271"/>
      <c r="I33" s="271"/>
      <c r="J33" s="271"/>
      <c r="K33" s="271"/>
      <c r="L33" s="271"/>
      <c r="M33" s="271"/>
      <c r="N33" s="271"/>
      <c r="O33" s="271"/>
      <c r="P33" s="271"/>
      <c r="Q33" s="271"/>
      <c r="R33" s="271"/>
    </row>
    <row r="34" spans="1:18" ht="26.1" customHeight="1" x14ac:dyDescent="0.2">
      <c r="A34" s="12" t="str">
        <f ca="1">OFFSET(Sprachen!A430,0,'START, DÉBUT, INIZIO'!$D$4-1,1,1)</f>
        <v>Kosten für die Elektrizität für Zubringerpumpen</v>
      </c>
      <c r="B34" s="1"/>
      <c r="C34" s="1"/>
      <c r="D34" s="3"/>
      <c r="E34" s="900"/>
      <c r="F34" s="900"/>
      <c r="G34" s="900"/>
      <c r="H34" s="900"/>
      <c r="I34" s="900"/>
    </row>
    <row r="35" spans="1:18" ht="39.950000000000003" customHeight="1" x14ac:dyDescent="0.2">
      <c r="A35" s="12"/>
      <c r="B35" s="1"/>
      <c r="C35" s="1"/>
      <c r="D35" s="903" t="str">
        <f ca="1">OFFSET(Sprachen!A431,0,'START, DÉBUT, INIZIO'!$D$4-1,1,1)</f>
        <v>Preis investitionsbedingter Pumpenstrom (unter Annahme Projekt wäre bereits realisiert)</v>
      </c>
      <c r="E35" s="903"/>
      <c r="F35" s="1"/>
      <c r="G35" s="903" t="str">
        <f ca="1">OFFSET(Sprachen!A432,0,'START, DÉBUT, INIZIO'!$D$4-1,1,1)</f>
        <v>Investitionsbedingter Pumpenstrom Erwartungswert</v>
      </c>
      <c r="H35" s="903"/>
      <c r="I35" s="1"/>
      <c r="J35" s="903" t="str">
        <f ca="1">OFFSET(Sprachen!A433,0,'START, DÉBUT, INIZIO'!$D$4-1,1,1)</f>
        <v>Kosten investitionsbedingter Pumpenstrom (unter Annahme Projekt wäre bereits realisiert)</v>
      </c>
      <c r="K35" s="903"/>
    </row>
    <row r="36" spans="1:18" ht="13.5" thickBot="1" x14ac:dyDescent="0.25">
      <c r="A36" s="268"/>
      <c r="B36" s="1"/>
      <c r="C36" s="307"/>
      <c r="D36" s="271"/>
      <c r="E36" s="275" t="s">
        <v>10</v>
      </c>
      <c r="G36" s="417"/>
      <c r="H36" s="342" t="s">
        <v>9</v>
      </c>
      <c r="J36" s="271"/>
      <c r="K36" s="418" t="s">
        <v>8</v>
      </c>
    </row>
    <row r="37" spans="1:18" x14ac:dyDescent="0.2">
      <c r="A37" s="268"/>
      <c r="B37" s="3"/>
      <c r="C37" s="306">
        <v>1</v>
      </c>
      <c r="D37" s="3" t="str">
        <f>Vorgaben!C35</f>
        <v>10. 2024</v>
      </c>
      <c r="E37" s="749"/>
      <c r="G37" s="3" t="str">
        <f>'2 Techn. Angaben &amp; Produktion'!P95</f>
        <v>10. -1</v>
      </c>
      <c r="H37" s="277">
        <f>'2 Techn. Angaben &amp; Produktion'!R95</f>
        <v>0</v>
      </c>
      <c r="J37" s="3" t="str">
        <f>D37</f>
        <v>10. 2024</v>
      </c>
      <c r="K37" s="316">
        <f t="shared" ref="K37:K48" si="2">E37*H37</f>
        <v>0</v>
      </c>
    </row>
    <row r="38" spans="1:18" x14ac:dyDescent="0.2">
      <c r="A38" s="268"/>
      <c r="C38" s="307">
        <f t="shared" ref="C38:C49" si="3">C37+1</f>
        <v>2</v>
      </c>
      <c r="D38" s="3" t="str">
        <f>Vorgaben!C36</f>
        <v>11. 2024</v>
      </c>
      <c r="E38" s="747"/>
      <c r="G38" s="3" t="str">
        <f>'2 Techn. Angaben &amp; Produktion'!P96</f>
        <v>11. -1</v>
      </c>
      <c r="H38" s="274">
        <f>'2 Techn. Angaben &amp; Produktion'!R96</f>
        <v>0</v>
      </c>
      <c r="J38" s="3" t="str">
        <f t="shared" ref="J38:J48" si="4">D38</f>
        <v>11. 2024</v>
      </c>
      <c r="K38" s="315">
        <f t="shared" si="2"/>
        <v>0</v>
      </c>
    </row>
    <row r="39" spans="1:18" ht="13.5" thickBot="1" x14ac:dyDescent="0.25">
      <c r="A39" s="268"/>
      <c r="C39" s="307">
        <f t="shared" si="3"/>
        <v>3</v>
      </c>
      <c r="D39" s="275" t="str">
        <f>Vorgaben!C37</f>
        <v>12. 2024</v>
      </c>
      <c r="E39" s="748"/>
      <c r="G39" s="314" t="str">
        <f>'2 Techn. Angaben &amp; Produktion'!P97</f>
        <v>12. -1</v>
      </c>
      <c r="H39" s="276">
        <f>'2 Techn. Angaben &amp; Produktion'!R97</f>
        <v>0</v>
      </c>
      <c r="J39" s="275" t="str">
        <f t="shared" si="4"/>
        <v>12. 2024</v>
      </c>
      <c r="K39" s="317">
        <f t="shared" si="2"/>
        <v>0</v>
      </c>
    </row>
    <row r="40" spans="1:18" x14ac:dyDescent="0.2">
      <c r="A40" s="268"/>
      <c r="B40" s="3"/>
      <c r="C40" s="307">
        <f t="shared" si="3"/>
        <v>4</v>
      </c>
      <c r="D40" s="3" t="str">
        <f>Vorgaben!C38</f>
        <v>1. 2025</v>
      </c>
      <c r="E40" s="749"/>
      <c r="G40" s="3" t="str">
        <f>'2 Techn. Angaben &amp; Produktion'!P98</f>
        <v>1. 0</v>
      </c>
      <c r="H40" s="277">
        <f>'2 Techn. Angaben &amp; Produktion'!R98</f>
        <v>0</v>
      </c>
      <c r="J40" s="3" t="str">
        <f t="shared" si="4"/>
        <v>1. 2025</v>
      </c>
      <c r="K40" s="316">
        <f t="shared" si="2"/>
        <v>0</v>
      </c>
    </row>
    <row r="41" spans="1:18" x14ac:dyDescent="0.2">
      <c r="A41" s="268"/>
      <c r="B41" s="1"/>
      <c r="C41" s="307">
        <f t="shared" si="3"/>
        <v>5</v>
      </c>
      <c r="D41" s="3" t="str">
        <f>Vorgaben!C39</f>
        <v>2. 2025</v>
      </c>
      <c r="E41" s="747"/>
      <c r="G41" s="3" t="str">
        <f>'2 Techn. Angaben &amp; Produktion'!P99</f>
        <v>2. 0</v>
      </c>
      <c r="H41" s="274">
        <f>'2 Techn. Angaben &amp; Produktion'!R99</f>
        <v>0</v>
      </c>
      <c r="J41" s="3" t="str">
        <f t="shared" si="4"/>
        <v>2. 2025</v>
      </c>
      <c r="K41" s="315">
        <f t="shared" si="2"/>
        <v>0</v>
      </c>
    </row>
    <row r="42" spans="1:18" ht="13.5" thickBot="1" x14ac:dyDescent="0.25">
      <c r="A42" s="268"/>
      <c r="B42" s="1"/>
      <c r="C42" s="307">
        <f t="shared" si="3"/>
        <v>6</v>
      </c>
      <c r="D42" s="275" t="str">
        <f>Vorgaben!C40</f>
        <v>3. 2025</v>
      </c>
      <c r="E42" s="748"/>
      <c r="G42" s="314" t="str">
        <f>'2 Techn. Angaben &amp; Produktion'!P100</f>
        <v>3. 0</v>
      </c>
      <c r="H42" s="276">
        <f>'2 Techn. Angaben &amp; Produktion'!R100</f>
        <v>0</v>
      </c>
      <c r="J42" s="275" t="str">
        <f t="shared" si="4"/>
        <v>3. 2025</v>
      </c>
      <c r="K42" s="317">
        <f t="shared" si="2"/>
        <v>0</v>
      </c>
    </row>
    <row r="43" spans="1:18" x14ac:dyDescent="0.2">
      <c r="A43" s="268"/>
      <c r="B43" s="1"/>
      <c r="C43" s="307">
        <f t="shared" si="3"/>
        <v>7</v>
      </c>
      <c r="D43" s="3" t="str">
        <f>Vorgaben!C41</f>
        <v>4. 2025</v>
      </c>
      <c r="E43" s="749"/>
      <c r="G43" s="3" t="str">
        <f>'2 Techn. Angaben &amp; Produktion'!P101</f>
        <v>4. 0</v>
      </c>
      <c r="H43" s="277">
        <f>'2 Techn. Angaben &amp; Produktion'!R101</f>
        <v>0</v>
      </c>
      <c r="J43" s="3" t="str">
        <f t="shared" si="4"/>
        <v>4. 2025</v>
      </c>
      <c r="K43" s="316">
        <f t="shared" si="2"/>
        <v>0</v>
      </c>
    </row>
    <row r="44" spans="1:18" x14ac:dyDescent="0.2">
      <c r="A44" s="268"/>
      <c r="B44" s="1"/>
      <c r="C44" s="307">
        <f t="shared" si="3"/>
        <v>8</v>
      </c>
      <c r="D44" s="3" t="str">
        <f>Vorgaben!C42</f>
        <v>5. 2025</v>
      </c>
      <c r="E44" s="747"/>
      <c r="G44" s="3" t="str">
        <f>'2 Techn. Angaben &amp; Produktion'!P102</f>
        <v>5. 0</v>
      </c>
      <c r="H44" s="274">
        <f>'2 Techn. Angaben &amp; Produktion'!R102</f>
        <v>0</v>
      </c>
      <c r="J44" s="3" t="str">
        <f t="shared" si="4"/>
        <v>5. 2025</v>
      </c>
      <c r="K44" s="315">
        <f t="shared" si="2"/>
        <v>0</v>
      </c>
    </row>
    <row r="45" spans="1:18" ht="13.5" thickBot="1" x14ac:dyDescent="0.25">
      <c r="A45" s="268"/>
      <c r="B45" s="1"/>
      <c r="C45" s="307">
        <f t="shared" si="3"/>
        <v>9</v>
      </c>
      <c r="D45" s="275" t="str">
        <f>Vorgaben!C43</f>
        <v>6. 2025</v>
      </c>
      <c r="E45" s="748"/>
      <c r="G45" s="314" t="str">
        <f>'2 Techn. Angaben &amp; Produktion'!P103</f>
        <v>6. 0</v>
      </c>
      <c r="H45" s="276">
        <f>'2 Techn. Angaben &amp; Produktion'!R103</f>
        <v>0</v>
      </c>
      <c r="J45" s="275" t="str">
        <f t="shared" si="4"/>
        <v>6. 2025</v>
      </c>
      <c r="K45" s="317">
        <f t="shared" si="2"/>
        <v>0</v>
      </c>
    </row>
    <row r="46" spans="1:18" x14ac:dyDescent="0.2">
      <c r="A46" s="268"/>
      <c r="B46" s="1"/>
      <c r="C46" s="307">
        <f t="shared" si="3"/>
        <v>10</v>
      </c>
      <c r="D46" s="3" t="str">
        <f>Vorgaben!C44</f>
        <v>7. 2025</v>
      </c>
      <c r="E46" s="749"/>
      <c r="G46" s="3" t="str">
        <f>'2 Techn. Angaben &amp; Produktion'!P104</f>
        <v>7. 0</v>
      </c>
      <c r="H46" s="277">
        <f>'2 Techn. Angaben &amp; Produktion'!R104</f>
        <v>0</v>
      </c>
      <c r="J46" s="3" t="str">
        <f t="shared" si="4"/>
        <v>7. 2025</v>
      </c>
      <c r="K46" s="316">
        <f t="shared" si="2"/>
        <v>0</v>
      </c>
    </row>
    <row r="47" spans="1:18" x14ac:dyDescent="0.2">
      <c r="A47" s="268"/>
      <c r="B47" s="1"/>
      <c r="C47" s="307">
        <f t="shared" si="3"/>
        <v>11</v>
      </c>
      <c r="D47" s="3" t="str">
        <f>Vorgaben!C45</f>
        <v>8. 2025</v>
      </c>
      <c r="E47" s="747"/>
      <c r="G47" s="3" t="str">
        <f>'2 Techn. Angaben &amp; Produktion'!P105</f>
        <v>8. 0</v>
      </c>
      <c r="H47" s="274">
        <f>'2 Techn. Angaben &amp; Produktion'!R105</f>
        <v>0</v>
      </c>
      <c r="J47" s="3" t="str">
        <f t="shared" si="4"/>
        <v>8. 2025</v>
      </c>
      <c r="K47" s="315">
        <f t="shared" si="2"/>
        <v>0</v>
      </c>
    </row>
    <row r="48" spans="1:18" ht="13.5" thickBot="1" x14ac:dyDescent="0.25">
      <c r="A48" s="268"/>
      <c r="B48" s="1"/>
      <c r="C48" s="307">
        <f t="shared" si="3"/>
        <v>12</v>
      </c>
      <c r="D48" s="275" t="str">
        <f>Vorgaben!C46</f>
        <v>9. 2025</v>
      </c>
      <c r="E48" s="748"/>
      <c r="G48" s="314" t="str">
        <f>'2 Techn. Angaben &amp; Produktion'!P106</f>
        <v>9. 0</v>
      </c>
      <c r="H48" s="276">
        <f>'2 Techn. Angaben &amp; Produktion'!R106</f>
        <v>0</v>
      </c>
      <c r="J48" s="275" t="str">
        <f t="shared" si="4"/>
        <v>9. 2025</v>
      </c>
      <c r="K48" s="317">
        <f t="shared" si="2"/>
        <v>0</v>
      </c>
    </row>
    <row r="49" spans="1:18" ht="19.5" customHeight="1" x14ac:dyDescent="0.2">
      <c r="C49" s="5">
        <f t="shared" si="3"/>
        <v>13</v>
      </c>
      <c r="D49" s="308"/>
      <c r="E49" s="309"/>
      <c r="F49" s="309"/>
      <c r="H49" s="6">
        <f>SUM(H37:H48)</f>
        <v>0</v>
      </c>
      <c r="I49" s="8"/>
      <c r="J49" s="8"/>
      <c r="K49" s="308">
        <f>SUM(K37:K48)</f>
        <v>0</v>
      </c>
      <c r="L49" s="309" t="s">
        <v>123</v>
      </c>
      <c r="M49" s="312" t="str">
        <f ca="1">OFFSET(Sprachen!A434,0,'START, DÉBUT, INIZIO'!$D$4-1,1,1)</f>
        <v>Mehrkrosten für die Elektrizität für Zubringerpumpen</v>
      </c>
    </row>
    <row r="50" spans="1:18" ht="13.5" thickBot="1" x14ac:dyDescent="0.25">
      <c r="A50" s="271"/>
      <c r="B50" s="271"/>
      <c r="C50" s="271"/>
      <c r="D50" s="271"/>
      <c r="E50" s="271"/>
      <c r="F50" s="271"/>
      <c r="G50" s="271"/>
      <c r="H50" s="271"/>
      <c r="I50" s="271"/>
      <c r="J50" s="271"/>
      <c r="K50" s="271"/>
      <c r="L50" s="271"/>
      <c r="M50" s="271"/>
      <c r="N50" s="271"/>
      <c r="O50" s="271"/>
      <c r="P50" s="271"/>
      <c r="Q50" s="271"/>
      <c r="R50" s="271"/>
    </row>
    <row r="51" spans="1:18" ht="26.1" customHeight="1" x14ac:dyDescent="0.2">
      <c r="A51" s="12" t="str">
        <f ca="1">OFFSET(Sprachen!A435,0,'START, DÉBUT, INIZIO'!$D$4-1,1,1)</f>
        <v>Kosten für die Elektrizität für Umwälzpumpen</v>
      </c>
      <c r="B51" s="1"/>
      <c r="C51" s="1"/>
      <c r="D51" s="3"/>
      <c r="E51" s="900"/>
      <c r="F51" s="900"/>
      <c r="G51" s="900"/>
      <c r="H51" s="900"/>
      <c r="I51" s="900"/>
    </row>
    <row r="52" spans="1:18" ht="40.5" customHeight="1" x14ac:dyDescent="0.2">
      <c r="A52" s="12"/>
      <c r="B52" s="1"/>
      <c r="C52" s="1"/>
      <c r="D52" s="903" t="str">
        <f ca="1">D35</f>
        <v>Preis investitionsbedingter Pumpenstrom (unter Annahme Projekt wäre bereits realisiert)</v>
      </c>
      <c r="E52" s="903"/>
      <c r="F52" s="1"/>
      <c r="G52" s="903" t="str">
        <f ca="1">G35</f>
        <v>Investitionsbedingter Pumpenstrom Erwartungswert</v>
      </c>
      <c r="H52" s="903"/>
      <c r="I52" s="1"/>
      <c r="J52" s="903" t="str">
        <f ca="1">J35</f>
        <v>Kosten investitionsbedingter Pumpenstrom (unter Annahme Projekt wäre bereits realisiert)</v>
      </c>
      <c r="K52" s="903"/>
    </row>
    <row r="53" spans="1:18" ht="13.5" thickBot="1" x14ac:dyDescent="0.25">
      <c r="A53" s="268"/>
      <c r="B53" s="1"/>
      <c r="C53" s="307"/>
      <c r="D53" s="271"/>
      <c r="E53" s="275" t="s">
        <v>10</v>
      </c>
      <c r="G53" s="417"/>
      <c r="H53" s="342" t="s">
        <v>9</v>
      </c>
      <c r="J53" s="271"/>
      <c r="K53" s="418" t="s">
        <v>8</v>
      </c>
    </row>
    <row r="54" spans="1:18" x14ac:dyDescent="0.2">
      <c r="A54" s="268"/>
      <c r="B54" s="3"/>
      <c r="C54" s="306">
        <v>1</v>
      </c>
      <c r="D54" s="3" t="str">
        <f t="shared" ref="D54:D65" si="5">D37</f>
        <v>10. 2024</v>
      </c>
      <c r="E54" s="749"/>
      <c r="G54" s="3" t="str">
        <f t="shared" ref="G54:G65" si="6">G37</f>
        <v>10. -1</v>
      </c>
      <c r="H54" s="277">
        <f>'2 Techn. Angaben &amp; Produktion'!R121</f>
        <v>0</v>
      </c>
      <c r="J54" s="3" t="str">
        <f t="shared" ref="J54:J65" si="7">J37</f>
        <v>10. 2024</v>
      </c>
      <c r="K54" s="316">
        <f t="shared" ref="K54:K65" si="8">E54*H54</f>
        <v>0</v>
      </c>
    </row>
    <row r="55" spans="1:18" x14ac:dyDescent="0.2">
      <c r="A55" s="268"/>
      <c r="C55" s="307">
        <f t="shared" ref="C55:C66" si="9">C54+1</f>
        <v>2</v>
      </c>
      <c r="D55" s="3" t="str">
        <f t="shared" si="5"/>
        <v>11. 2024</v>
      </c>
      <c r="E55" s="747"/>
      <c r="G55" s="3" t="str">
        <f t="shared" si="6"/>
        <v>11. -1</v>
      </c>
      <c r="H55" s="274">
        <f>'2 Techn. Angaben &amp; Produktion'!R122</f>
        <v>0</v>
      </c>
      <c r="J55" s="3" t="str">
        <f t="shared" si="7"/>
        <v>11. 2024</v>
      </c>
      <c r="K55" s="315">
        <f t="shared" si="8"/>
        <v>0</v>
      </c>
    </row>
    <row r="56" spans="1:18" ht="13.5" thickBot="1" x14ac:dyDescent="0.25">
      <c r="A56" s="268"/>
      <c r="C56" s="307">
        <f t="shared" si="9"/>
        <v>3</v>
      </c>
      <c r="D56" s="275" t="str">
        <f t="shared" si="5"/>
        <v>12. 2024</v>
      </c>
      <c r="E56" s="748"/>
      <c r="G56" s="314" t="str">
        <f t="shared" si="6"/>
        <v>12. -1</v>
      </c>
      <c r="H56" s="276">
        <f>'2 Techn. Angaben &amp; Produktion'!R123</f>
        <v>0</v>
      </c>
      <c r="J56" s="275" t="str">
        <f t="shared" si="7"/>
        <v>12. 2024</v>
      </c>
      <c r="K56" s="317">
        <f t="shared" si="8"/>
        <v>0</v>
      </c>
    </row>
    <row r="57" spans="1:18" x14ac:dyDescent="0.2">
      <c r="A57" s="268"/>
      <c r="B57" s="3"/>
      <c r="C57" s="307">
        <f t="shared" si="9"/>
        <v>4</v>
      </c>
      <c r="D57" s="3" t="str">
        <f t="shared" si="5"/>
        <v>1. 2025</v>
      </c>
      <c r="E57" s="749"/>
      <c r="G57" s="3" t="str">
        <f t="shared" si="6"/>
        <v>1. 0</v>
      </c>
      <c r="H57" s="277">
        <f>'2 Techn. Angaben &amp; Produktion'!R124</f>
        <v>0</v>
      </c>
      <c r="J57" s="3" t="str">
        <f t="shared" si="7"/>
        <v>1. 2025</v>
      </c>
      <c r="K57" s="316">
        <f t="shared" si="8"/>
        <v>0</v>
      </c>
    </row>
    <row r="58" spans="1:18" x14ac:dyDescent="0.2">
      <c r="A58" s="268"/>
      <c r="B58" s="1"/>
      <c r="C58" s="307">
        <f t="shared" si="9"/>
        <v>5</v>
      </c>
      <c r="D58" s="3" t="str">
        <f t="shared" si="5"/>
        <v>2. 2025</v>
      </c>
      <c r="E58" s="747"/>
      <c r="G58" s="3" t="str">
        <f t="shared" si="6"/>
        <v>2. 0</v>
      </c>
      <c r="H58" s="274">
        <f>'2 Techn. Angaben &amp; Produktion'!R125</f>
        <v>0</v>
      </c>
      <c r="J58" s="3" t="str">
        <f t="shared" si="7"/>
        <v>2. 2025</v>
      </c>
      <c r="K58" s="315">
        <f t="shared" si="8"/>
        <v>0</v>
      </c>
    </row>
    <row r="59" spans="1:18" ht="13.5" thickBot="1" x14ac:dyDescent="0.25">
      <c r="A59" s="268"/>
      <c r="B59" s="1"/>
      <c r="C59" s="307">
        <f t="shared" si="9"/>
        <v>6</v>
      </c>
      <c r="D59" s="275" t="str">
        <f t="shared" si="5"/>
        <v>3. 2025</v>
      </c>
      <c r="E59" s="748"/>
      <c r="G59" s="314" t="str">
        <f t="shared" si="6"/>
        <v>3. 0</v>
      </c>
      <c r="H59" s="276">
        <f>'2 Techn. Angaben &amp; Produktion'!R126</f>
        <v>0</v>
      </c>
      <c r="J59" s="275" t="str">
        <f t="shared" si="7"/>
        <v>3. 2025</v>
      </c>
      <c r="K59" s="317">
        <f t="shared" si="8"/>
        <v>0</v>
      </c>
    </row>
    <row r="60" spans="1:18" x14ac:dyDescent="0.2">
      <c r="A60" s="268"/>
      <c r="B60" s="1"/>
      <c r="C60" s="307">
        <f t="shared" si="9"/>
        <v>7</v>
      </c>
      <c r="D60" s="3" t="str">
        <f t="shared" si="5"/>
        <v>4. 2025</v>
      </c>
      <c r="E60" s="749"/>
      <c r="G60" s="3" t="str">
        <f t="shared" si="6"/>
        <v>4. 0</v>
      </c>
      <c r="H60" s="277">
        <f>'2 Techn. Angaben &amp; Produktion'!R127</f>
        <v>0</v>
      </c>
      <c r="J60" s="3" t="str">
        <f t="shared" si="7"/>
        <v>4. 2025</v>
      </c>
      <c r="K60" s="316">
        <f t="shared" si="8"/>
        <v>0</v>
      </c>
    </row>
    <row r="61" spans="1:18" x14ac:dyDescent="0.2">
      <c r="A61" s="268"/>
      <c r="B61" s="1"/>
      <c r="C61" s="307">
        <f t="shared" si="9"/>
        <v>8</v>
      </c>
      <c r="D61" s="3" t="str">
        <f t="shared" si="5"/>
        <v>5. 2025</v>
      </c>
      <c r="E61" s="747"/>
      <c r="G61" s="3" t="str">
        <f t="shared" si="6"/>
        <v>5. 0</v>
      </c>
      <c r="H61" s="274">
        <f>'2 Techn. Angaben &amp; Produktion'!R128</f>
        <v>0</v>
      </c>
      <c r="J61" s="3" t="str">
        <f t="shared" si="7"/>
        <v>5. 2025</v>
      </c>
      <c r="K61" s="315">
        <f t="shared" si="8"/>
        <v>0</v>
      </c>
    </row>
    <row r="62" spans="1:18" ht="13.5" thickBot="1" x14ac:dyDescent="0.25">
      <c r="A62" s="268"/>
      <c r="B62" s="1"/>
      <c r="C62" s="307">
        <f t="shared" si="9"/>
        <v>9</v>
      </c>
      <c r="D62" s="275" t="str">
        <f t="shared" si="5"/>
        <v>6. 2025</v>
      </c>
      <c r="E62" s="748"/>
      <c r="G62" s="314" t="str">
        <f t="shared" si="6"/>
        <v>6. 0</v>
      </c>
      <c r="H62" s="276">
        <f>'2 Techn. Angaben &amp; Produktion'!R129</f>
        <v>0</v>
      </c>
      <c r="J62" s="275" t="str">
        <f t="shared" si="7"/>
        <v>6. 2025</v>
      </c>
      <c r="K62" s="317">
        <f t="shared" si="8"/>
        <v>0</v>
      </c>
    </row>
    <row r="63" spans="1:18" x14ac:dyDescent="0.2">
      <c r="A63" s="268"/>
      <c r="B63" s="1"/>
      <c r="C63" s="307">
        <f t="shared" si="9"/>
        <v>10</v>
      </c>
      <c r="D63" s="3" t="str">
        <f t="shared" si="5"/>
        <v>7. 2025</v>
      </c>
      <c r="E63" s="749"/>
      <c r="G63" s="3" t="str">
        <f t="shared" si="6"/>
        <v>7. 0</v>
      </c>
      <c r="H63" s="277">
        <f>'2 Techn. Angaben &amp; Produktion'!R130</f>
        <v>0</v>
      </c>
      <c r="J63" s="3" t="str">
        <f t="shared" si="7"/>
        <v>7. 2025</v>
      </c>
      <c r="K63" s="316">
        <f t="shared" si="8"/>
        <v>0</v>
      </c>
    </row>
    <row r="64" spans="1:18" x14ac:dyDescent="0.2">
      <c r="A64" s="268"/>
      <c r="B64" s="1"/>
      <c r="C64" s="307">
        <f t="shared" si="9"/>
        <v>11</v>
      </c>
      <c r="D64" s="3" t="str">
        <f t="shared" si="5"/>
        <v>8. 2025</v>
      </c>
      <c r="E64" s="747"/>
      <c r="G64" s="3" t="str">
        <f t="shared" si="6"/>
        <v>8. 0</v>
      </c>
      <c r="H64" s="274">
        <f>'2 Techn. Angaben &amp; Produktion'!R131</f>
        <v>0</v>
      </c>
      <c r="J64" s="3" t="str">
        <f t="shared" si="7"/>
        <v>8. 2025</v>
      </c>
      <c r="K64" s="315">
        <f t="shared" si="8"/>
        <v>0</v>
      </c>
    </row>
    <row r="65" spans="1:18" ht="13.5" thickBot="1" x14ac:dyDescent="0.25">
      <c r="A65" s="268"/>
      <c r="B65" s="1"/>
      <c r="C65" s="307">
        <f t="shared" si="9"/>
        <v>12</v>
      </c>
      <c r="D65" s="275" t="str">
        <f t="shared" si="5"/>
        <v>9. 2025</v>
      </c>
      <c r="E65" s="748"/>
      <c r="G65" s="314" t="str">
        <f t="shared" si="6"/>
        <v>9. 0</v>
      </c>
      <c r="H65" s="276">
        <f>'2 Techn. Angaben &amp; Produktion'!R132</f>
        <v>0</v>
      </c>
      <c r="J65" s="275" t="str">
        <f t="shared" si="7"/>
        <v>9. 2025</v>
      </c>
      <c r="K65" s="317">
        <f t="shared" si="8"/>
        <v>0</v>
      </c>
    </row>
    <row r="66" spans="1:18" ht="19.5" customHeight="1" x14ac:dyDescent="0.2">
      <c r="C66" s="5">
        <f t="shared" si="9"/>
        <v>13</v>
      </c>
      <c r="D66" s="308"/>
      <c r="E66" s="309"/>
      <c r="F66" s="309"/>
      <c r="H66" s="6">
        <f>SUM(H54:H65)</f>
        <v>0</v>
      </c>
      <c r="I66" s="8"/>
      <c r="J66" s="8"/>
      <c r="K66" s="308">
        <f>SUM(K54:K65)</f>
        <v>0</v>
      </c>
      <c r="L66" s="309" t="s">
        <v>123</v>
      </c>
      <c r="M66" s="312" t="str">
        <f ca="1">OFFSET(Sprachen!A436,0,'START, DÉBUT, INIZIO'!$D$4-1,1,1)</f>
        <v>Mehrkosten für die Elektrizität für Umwälzpumpen</v>
      </c>
    </row>
    <row r="67" spans="1:18" ht="13.5" thickBot="1" x14ac:dyDescent="0.25">
      <c r="A67" s="271"/>
      <c r="B67" s="271"/>
      <c r="C67" s="271"/>
      <c r="D67" s="271"/>
      <c r="E67" s="271"/>
      <c r="F67" s="271"/>
      <c r="G67" s="271"/>
      <c r="H67" s="271"/>
      <c r="I67" s="271"/>
      <c r="J67" s="271"/>
      <c r="K67" s="271"/>
      <c r="L67" s="271"/>
      <c r="M67" s="271"/>
      <c r="N67" s="271"/>
      <c r="O67" s="271"/>
      <c r="P67" s="271"/>
      <c r="Q67" s="271"/>
      <c r="R67" s="271"/>
    </row>
    <row r="68" spans="1:18" ht="26.1" customHeight="1" x14ac:dyDescent="0.2">
      <c r="A68" s="12" t="str">
        <f ca="1">OFFSET(Sprachen!A437,0,'START, DÉBUT, INIZIO'!$D$4-1,1,1)</f>
        <v>Investitionsbedingte Kosten für Steuern</v>
      </c>
      <c r="B68" s="1"/>
      <c r="C68" s="1"/>
      <c r="D68" s="3"/>
      <c r="E68" s="900"/>
      <c r="F68" s="900"/>
      <c r="G68" s="900"/>
      <c r="H68" s="900"/>
      <c r="I68" s="900"/>
    </row>
    <row r="69" spans="1:18" x14ac:dyDescent="0.2">
      <c r="B69" s="320" t="str">
        <f ca="1">OFFSET(Sprachen!A438,0,'START, DÉBUT, INIZIO'!$D$4-1,1,1)</f>
        <v>Abschreibungen (anr. Investition / investitionsgew. Nutzungsdauer)</v>
      </c>
      <c r="D69" s="306">
        <v>1</v>
      </c>
      <c r="E69" s="409">
        <f>'3 Investitionskosten'!$N$13/'3 Investitionskosten'!$U$13</f>
        <v>0</v>
      </c>
      <c r="F69" s="330" t="s">
        <v>123</v>
      </c>
    </row>
    <row r="70" spans="1:18" x14ac:dyDescent="0.2">
      <c r="B70" s="320" t="str">
        <f ca="1">OFFSET(Sprachen!A439,0,'START, DÉBUT, INIZIO'!$D$4-1,1,1)</f>
        <v>Kapitalkosten (EK + FK)</v>
      </c>
      <c r="D70" s="307">
        <f>D69+1</f>
        <v>2</v>
      </c>
      <c r="E70" s="6">
        <f>D6-E69</f>
        <v>0</v>
      </c>
      <c r="F70" s="310" t="s">
        <v>123</v>
      </c>
    </row>
    <row r="71" spans="1:18" x14ac:dyDescent="0.2">
      <c r="B71" s="320" t="str">
        <f ca="1">OFFSET(Sprachen!A440,0,'START, DÉBUT, INIZIO'!$D$4-1,1,1)</f>
        <v>Eigenkapitalkosten</v>
      </c>
      <c r="D71" s="307">
        <f>D70+1</f>
        <v>3</v>
      </c>
      <c r="E71" s="6">
        <f>E70*Vorgaben!$D$10</f>
        <v>0</v>
      </c>
      <c r="F71" s="310" t="s">
        <v>123</v>
      </c>
    </row>
    <row r="72" spans="1:18" x14ac:dyDescent="0.2">
      <c r="B72" s="320" t="str">
        <f ca="1">OFFSET(Sprachen!A441,0,'START, DÉBUT, INIZIO'!$D$4-1,1,1)</f>
        <v>Fremdkapitalkosten</v>
      </c>
      <c r="D72" s="307">
        <f>D71+1</f>
        <v>4</v>
      </c>
      <c r="E72" s="6">
        <f>E70*Vorgaben!$D$11</f>
        <v>0</v>
      </c>
      <c r="F72" s="310" t="s">
        <v>123</v>
      </c>
    </row>
    <row r="73" spans="1:18" x14ac:dyDescent="0.2">
      <c r="B73" s="320" t="str">
        <f ca="1">OFFSET(Sprachen!A442,0,'START, DÉBUT, INIZIO'!$D$4-1,1,1)</f>
        <v>Eigenkapitalkosten vor Steuern</v>
      </c>
      <c r="D73" s="307">
        <f t="shared" ref="D73:D74" si="10">D72+1</f>
        <v>5</v>
      </c>
      <c r="E73" s="6">
        <f>E71/(1-Vorgaben!$C$7)</f>
        <v>0</v>
      </c>
      <c r="F73" s="310" t="s">
        <v>123</v>
      </c>
    </row>
    <row r="74" spans="1:18" ht="25.5" customHeight="1" x14ac:dyDescent="0.2">
      <c r="B74" s="320" t="str">
        <f ca="1">OFFSET(Sprachen!A443,0,'START, DÉBUT, INIZIO'!$D$4-1,1,1)</f>
        <v>Steuern EK</v>
      </c>
      <c r="D74" s="5">
        <f t="shared" si="10"/>
        <v>6</v>
      </c>
      <c r="E74" s="308">
        <f>E73/(1)*Vorgaben!$C$7</f>
        <v>0</v>
      </c>
      <c r="F74" s="311" t="s">
        <v>123</v>
      </c>
      <c r="G74" s="312" t="str">
        <f ca="1">OFFSET(Sprachen!A444,0,'START, DÉBUT, INIZIO'!$D$4-1,1,1)</f>
        <v>Kosten EK Steuern</v>
      </c>
    </row>
    <row r="75" spans="1:18" ht="13.5" thickBot="1" x14ac:dyDescent="0.25">
      <c r="A75" s="271"/>
      <c r="B75" s="271"/>
      <c r="C75" s="271"/>
      <c r="D75" s="271"/>
      <c r="E75" s="271"/>
      <c r="F75" s="271"/>
      <c r="G75" s="271"/>
      <c r="H75" s="271"/>
      <c r="I75" s="271"/>
      <c r="J75" s="271"/>
      <c r="K75" s="271"/>
      <c r="L75" s="271"/>
      <c r="M75" s="271"/>
      <c r="N75" s="271"/>
      <c r="O75" s="271"/>
      <c r="P75" s="271"/>
      <c r="Q75" s="271"/>
      <c r="R75" s="271"/>
    </row>
    <row r="76" spans="1:18" ht="26.1" customHeight="1" x14ac:dyDescent="0.2">
      <c r="A76" s="12" t="str">
        <f ca="1">OFFSET(Sprachen!A551,0,'START, DÉBUT, INIZIO'!$D$4-1,1,1)</f>
        <v>Kennzahlen</v>
      </c>
      <c r="B76" s="1"/>
      <c r="C76" s="1"/>
      <c r="D76" s="3"/>
      <c r="E76" s="900"/>
      <c r="F76" s="900"/>
      <c r="G76" s="900"/>
      <c r="H76" s="900"/>
      <c r="I76" s="900"/>
    </row>
    <row r="77" spans="1:18" x14ac:dyDescent="0.2">
      <c r="B77" s="351" t="str">
        <f ca="1">OFFSET(Sprachen!A552,0,'START, DÉBUT, INIZIO'!$D$4-1,1,1)</f>
        <v>Kapitalkosten</v>
      </c>
      <c r="C77" s="5">
        <v>1</v>
      </c>
      <c r="D77" s="6">
        <f>D6</f>
        <v>0</v>
      </c>
      <c r="E77" t="s">
        <v>8</v>
      </c>
      <c r="K77" s="6"/>
    </row>
    <row r="78" spans="1:18" x14ac:dyDescent="0.2">
      <c r="B78" s="351" t="str">
        <f ca="1">OFFSET(Sprachen!A553,0,'START, DÉBUT, INIZIO'!$D$4-1,1,1)</f>
        <v>Betriebskosten</v>
      </c>
      <c r="C78" s="307">
        <f t="shared" ref="C78:C90" si="11">C77+1</f>
        <v>2</v>
      </c>
      <c r="D78" s="6">
        <f>D17</f>
        <v>0</v>
      </c>
      <c r="E78" t="s">
        <v>8</v>
      </c>
      <c r="K78" s="6"/>
    </row>
    <row r="79" spans="1:18" x14ac:dyDescent="0.2">
      <c r="B79" s="351" t="str">
        <f ca="1">OFFSET(Sprachen!A554,0,'START, DÉBUT, INIZIO'!$D$4-1,1,1)</f>
        <v>Energiebewirtschaftungs- und -verwertungskosten</v>
      </c>
      <c r="C79" s="307">
        <f t="shared" si="11"/>
        <v>3</v>
      </c>
      <c r="D79" s="6">
        <f ca="1">D23</f>
        <v>0</v>
      </c>
      <c r="E79" t="s">
        <v>8</v>
      </c>
      <c r="K79" s="6"/>
    </row>
    <row r="80" spans="1:18" x14ac:dyDescent="0.2">
      <c r="B80" s="351" t="str">
        <f ca="1">OFFSET(Sprachen!A555,0,'START, DÉBUT, INIZIO'!$D$4-1,1,1)</f>
        <v>Abgaben und Leistungen an das Gemeinwesen</v>
      </c>
      <c r="C80" s="307">
        <f t="shared" si="11"/>
        <v>4</v>
      </c>
      <c r="D80" s="6">
        <f>D32</f>
        <v>0</v>
      </c>
      <c r="E80" t="s">
        <v>8</v>
      </c>
      <c r="K80" s="6"/>
    </row>
    <row r="81" spans="1:18" x14ac:dyDescent="0.2">
      <c r="B81" s="351" t="str">
        <f ca="1">OFFSET(Sprachen!A556,0,'START, DÉBUT, INIZIO'!$D$4-1,1,1)</f>
        <v>Kosten für die Elektrizität für Zubringerpumpen</v>
      </c>
      <c r="C81" s="307">
        <f t="shared" si="11"/>
        <v>5</v>
      </c>
      <c r="D81" s="6">
        <f>K49</f>
        <v>0</v>
      </c>
      <c r="E81" t="s">
        <v>8</v>
      </c>
      <c r="K81" s="6"/>
    </row>
    <row r="82" spans="1:18" x14ac:dyDescent="0.2">
      <c r="B82" s="14" t="str">
        <f ca="1">OFFSET(Sprachen!A557,0,'START, DÉBUT, INIZIO'!$D$4-1,1,1)</f>
        <v>Kosten für die Elektrizität für Umwälzpumpen</v>
      </c>
      <c r="C82" s="307">
        <f t="shared" si="11"/>
        <v>6</v>
      </c>
      <c r="D82" s="6">
        <f>K66</f>
        <v>0</v>
      </c>
      <c r="E82" t="s">
        <v>8</v>
      </c>
      <c r="K82" s="6"/>
    </row>
    <row r="83" spans="1:18" ht="13.5" thickBot="1" x14ac:dyDescent="0.25">
      <c r="B83" s="351" t="str">
        <f ca="1">OFFSET(Sprachen!A558,0,'START, DÉBUT, INIZIO'!$D$4-1,1,1)</f>
        <v>Eigenkapitalgewinnsteuer</v>
      </c>
      <c r="C83" s="307">
        <f t="shared" si="11"/>
        <v>7</v>
      </c>
      <c r="D83" s="6">
        <f>E74</f>
        <v>0</v>
      </c>
      <c r="E83" t="s">
        <v>8</v>
      </c>
      <c r="K83" s="6"/>
    </row>
    <row r="84" spans="1:18" s="235" customFormat="1" ht="21" customHeight="1" thickBot="1" x14ac:dyDescent="0.25">
      <c r="B84" s="387" t="str">
        <f ca="1">OFFSET(Sprachen!A561,0,'START, DÉBUT, INIZIO'!$D$4-1,1,1)</f>
        <v>Jahreskosten aus Investition</v>
      </c>
      <c r="C84" s="777">
        <f t="shared" si="11"/>
        <v>8</v>
      </c>
      <c r="D84" s="390">
        <f ca="1">SUM(D77:D83)</f>
        <v>0</v>
      </c>
      <c r="E84" s="388" t="s">
        <v>8</v>
      </c>
      <c r="K84" s="384"/>
    </row>
    <row r="85" spans="1:18" ht="19.5" customHeight="1" x14ac:dyDescent="0.2">
      <c r="B85" s="351" t="str">
        <f ca="1">OFFSET(Sprachen!A568,0,'START, DÉBUT, INIZIO'!$D$4-1,1,1)</f>
        <v>Mehrproduktion aus Investition (ohne neue Speicherkapazität)</v>
      </c>
      <c r="C85" s="307">
        <f t="shared" si="11"/>
        <v>9</v>
      </c>
      <c r="D85" s="6">
        <f>'2 Techn. Angaben &amp; Produktion'!R55</f>
        <v>0</v>
      </c>
      <c r="E85" t="s">
        <v>9</v>
      </c>
      <c r="K85" s="6"/>
    </row>
    <row r="86" spans="1:18" ht="12.75" customHeight="1" thickBot="1" x14ac:dyDescent="0.25">
      <c r="B86" s="351" t="str">
        <f ca="1">OFFSET(Sprachen!A569,0,'START, DÉBUT, INIZIO'!$D$4-1,1,1)</f>
        <v>Neue Speicherkapazität</v>
      </c>
      <c r="C86" s="762">
        <f t="shared" si="11"/>
        <v>10</v>
      </c>
      <c r="D86" s="6" t="e">
        <f ca="1">'2 Techn. Angaben &amp; Produktion'!V55</f>
        <v>#DIV/0!</v>
      </c>
      <c r="E86" t="s">
        <v>9</v>
      </c>
      <c r="K86" s="6"/>
    </row>
    <row r="87" spans="1:18" s="235" customFormat="1" ht="30.75" customHeight="1" thickBot="1" x14ac:dyDescent="0.25">
      <c r="B87" s="765" t="str">
        <f ca="1">OFFSET(Sprachen!A571,0,'START, DÉBUT, INIZIO'!$D$4-1,1,1)</f>
        <v>Mehrproduktion aus Investition (inkl. neue Speicherkapazität)</v>
      </c>
      <c r="C87" s="777">
        <f t="shared" si="11"/>
        <v>11</v>
      </c>
      <c r="D87" s="390">
        <f>'2 Techn. Angaben &amp; Produktion'!AB55</f>
        <v>0</v>
      </c>
      <c r="E87" s="388" t="s">
        <v>9</v>
      </c>
      <c r="K87" s="384"/>
    </row>
    <row r="88" spans="1:18" ht="19.5" customHeight="1" x14ac:dyDescent="0.2">
      <c r="A88" s="351"/>
      <c r="B88" s="351" t="str">
        <f ca="1">OFFSET(Sprachen!A573,0,'START, DÉBUT, INIZIO'!$D$4-1,1,1)</f>
        <v>Vergütungssatz berechnet</v>
      </c>
      <c r="C88" s="761">
        <f t="shared" si="11"/>
        <v>12</v>
      </c>
      <c r="D88" s="352" t="e">
        <f ca="1">D84/D87</f>
        <v>#DIV/0!</v>
      </c>
      <c r="E88" t="s">
        <v>10</v>
      </c>
      <c r="K88" s="352"/>
    </row>
    <row r="89" spans="1:18" ht="12.75" customHeight="1" thickBot="1" x14ac:dyDescent="0.25">
      <c r="A89" s="351"/>
      <c r="B89" s="14" t="str">
        <f ca="1">OFFSET(Sprachen!A626,0,'START, DÉBUT, INIZIO'!$D$4-1,1,1)</f>
        <v>maximaler Vergütungssatz</v>
      </c>
      <c r="C89" s="762">
        <f t="shared" si="11"/>
        <v>13</v>
      </c>
      <c r="D89" s="313">
        <f>Vorgaben!K4</f>
        <v>300</v>
      </c>
      <c r="E89" t="s">
        <v>10</v>
      </c>
      <c r="K89" s="352"/>
    </row>
    <row r="90" spans="1:18" ht="21" customHeight="1" thickBot="1" x14ac:dyDescent="0.25">
      <c r="A90" s="351"/>
      <c r="B90" s="387" t="str">
        <f ca="1">OFFSET(Sprachen!A574,0,'START, DÉBUT, INIZIO'!$D$4-1,1,1)</f>
        <v>Vergütungssatz</v>
      </c>
      <c r="C90" s="777">
        <f t="shared" si="11"/>
        <v>14</v>
      </c>
      <c r="D90" s="764" t="e">
        <f ca="1">IF(D88&gt;D89,D89,D88)</f>
        <v>#DIV/0!</v>
      </c>
      <c r="E90" s="763" t="s">
        <v>10</v>
      </c>
      <c r="K90" s="352"/>
    </row>
    <row r="91" spans="1:18" ht="13.5" thickBot="1" x14ac:dyDescent="0.25">
      <c r="A91" s="271"/>
      <c r="B91" s="371"/>
      <c r="C91" s="778"/>
      <c r="D91" s="371"/>
      <c r="E91" s="371"/>
      <c r="F91" s="371"/>
      <c r="G91" s="271"/>
      <c r="H91" s="271"/>
      <c r="I91" s="271"/>
      <c r="J91" s="271"/>
      <c r="K91" s="271"/>
      <c r="L91" s="271"/>
      <c r="M91" s="271"/>
      <c r="N91" s="271"/>
      <c r="O91" s="271"/>
      <c r="P91" s="271"/>
      <c r="Q91" s="271"/>
      <c r="R91" s="271"/>
    </row>
    <row r="92" spans="1:18" ht="26.1" customHeight="1" x14ac:dyDescent="0.2">
      <c r="A92" s="12"/>
      <c r="B92" s="1"/>
      <c r="C92" s="1"/>
      <c r="D92" s="3"/>
      <c r="E92" s="900"/>
      <c r="F92" s="900"/>
      <c r="G92" s="900"/>
      <c r="H92" s="900"/>
      <c r="I92" s="900"/>
    </row>
  </sheetData>
  <sheetProtection algorithmName="SHA-512" hashValue="XkIO+EQGJvV2DX4s6WRmYPrjuM3dw86/7g6lFrrXaSfCn3gzs65kAPEpDhYc3H7DV0+Oyrx4EuEakqDQMpDwng==" saltValue="8IAD+z21BXiZ70YwEMoo/g==" spinCount="100000" sheet="1" objects="1" scenarios="1"/>
  <mergeCells count="26">
    <mergeCell ref="F26:R26"/>
    <mergeCell ref="F27:R27"/>
    <mergeCell ref="F28:R28"/>
    <mergeCell ref="D35:E35"/>
    <mergeCell ref="J35:K35"/>
    <mergeCell ref="F12:R12"/>
    <mergeCell ref="F13:R13"/>
    <mergeCell ref="F14:R14"/>
    <mergeCell ref="F20:R20"/>
    <mergeCell ref="F21:R21"/>
    <mergeCell ref="E76:I76"/>
    <mergeCell ref="E92:I92"/>
    <mergeCell ref="E68:I68"/>
    <mergeCell ref="D1:D2"/>
    <mergeCell ref="F30:R30"/>
    <mergeCell ref="F31:R31"/>
    <mergeCell ref="E34:I34"/>
    <mergeCell ref="E51:I51"/>
    <mergeCell ref="D52:E52"/>
    <mergeCell ref="G52:H52"/>
    <mergeCell ref="J52:K52"/>
    <mergeCell ref="G35:H35"/>
    <mergeCell ref="F29:R29"/>
    <mergeCell ref="F9:R9"/>
    <mergeCell ref="F10:R10"/>
    <mergeCell ref="F11:R11"/>
  </mergeCells>
  <hyperlinks>
    <hyperlink ref="D1" location="'START, DÉBUT, INIZIO'!A1" display="START / DÉBUT / INIZIO" xr:uid="{E5141395-D8D9-43CF-B98E-83CF26F58800}"/>
  </hyperlinks>
  <pageMargins left="0.7" right="0.7" top="0.78740157499999996" bottom="0.78740157499999996" header="0.3" footer="0.3"/>
  <pageSetup paperSize="9" scale="27" orientation="portrait" r:id="rId1"/>
  <extLst>
    <ext xmlns:x14="http://schemas.microsoft.com/office/spreadsheetml/2009/9/main" uri="{78C0D931-6437-407d-A8EE-F0AAD7539E65}">
      <x14:conditionalFormattings>
        <x14:conditionalFormatting xmlns:xm="http://schemas.microsoft.com/office/excel/2006/main">
          <x14:cfRule type="expression" priority="1" id="{20E64C51-723C-4399-A977-F2BAE99D111E}">
            <xm:f>'START, DÉBUT, INIZIO'!$E$35&lt;&gt;1</xm:f>
            <x14:dxf>
              <font>
                <color theme="0" tint="-0.24994659260841701"/>
              </font>
              <fill>
                <patternFill patternType="none">
                  <bgColor auto="1"/>
                </patternFill>
              </fill>
            </x14:dxf>
          </x14:cfRule>
          <xm:sqref>A1:XFD1048576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9</vt:i4>
      </vt:variant>
    </vt:vector>
  </HeadingPairs>
  <TitlesOfParts>
    <vt:vector size="26" baseType="lpstr">
      <vt:lpstr>DropDown</vt:lpstr>
      <vt:lpstr>Sprachen</vt:lpstr>
      <vt:lpstr>START, DÉBUT, INIZIO</vt:lpstr>
      <vt:lpstr>1 Allgemeines &amp; Unterschrift</vt:lpstr>
      <vt:lpstr>1a Begründung Investitionstyp</vt:lpstr>
      <vt:lpstr>1b Beitragssatz IB</vt:lpstr>
      <vt:lpstr>2 Techn. Angaben &amp; Produktion</vt:lpstr>
      <vt:lpstr>3 Investitionskosten</vt:lpstr>
      <vt:lpstr>4.1</vt:lpstr>
      <vt:lpstr>4.2</vt:lpstr>
      <vt:lpstr>4.3</vt:lpstr>
      <vt:lpstr>4.4</vt:lpstr>
      <vt:lpstr>4.5</vt:lpstr>
      <vt:lpstr>4.6</vt:lpstr>
      <vt:lpstr>Marktpreisindex</vt:lpstr>
      <vt:lpstr>Vorgaben</vt:lpstr>
      <vt:lpstr>Änderungen zu Vorversion</vt:lpstr>
      <vt:lpstr>Sprachen!_ftn1</vt:lpstr>
      <vt:lpstr>Sprachen!_ftnref1</vt:lpstr>
      <vt:lpstr>'1 Allgemeines &amp; Unterschrift'!Druckbereich</vt:lpstr>
      <vt:lpstr>'1a Begründung Investitionstyp'!Druckbereich</vt:lpstr>
      <vt:lpstr>'1b Beitragssatz IB'!Druckbereich</vt:lpstr>
      <vt:lpstr>'2 Techn. Angaben &amp; Produktion'!Druckbereich</vt:lpstr>
      <vt:lpstr>'3 Investitionskosten'!Druckbereich</vt:lpstr>
      <vt:lpstr>'START, DÉBUT, INIZIO'!Druckbereich</vt:lpstr>
      <vt:lpstr>'3 Investitionskosten'!Drucktitel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Putzi Thomas BFE</dc:creator>
  <cp:lastModifiedBy>Roth Irene BFE</cp:lastModifiedBy>
  <cp:lastPrinted>2025-12-11T10:03:32Z</cp:lastPrinted>
  <dcterms:created xsi:type="dcterms:W3CDTF">2025-05-12T13:18:27Z</dcterms:created>
  <dcterms:modified xsi:type="dcterms:W3CDTF">2026-03-11T12:26:47Z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2025-05-12T14:06:35Z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70a45795-770a-4ff1-a7eb-a55f810d496d</vt:lpwstr>
  </property>
  <property fmtid="{D5CDD505-2E9C-101B-9397-08002B2CF9AE}" pid="8" name="MSIP_Label_aa112399-b73b-40c1-8af2-919b124b9d91_ContentBits">
    <vt:lpwstr>0</vt:lpwstr>
  </property>
  <property fmtid="{D5CDD505-2E9C-101B-9397-08002B2CF9AE}" pid="9" name="MSIP_Label_aa112399-b73b-40c1-8af2-919b124b9d91_Tag">
    <vt:lpwstr>10, 0, 1, 1</vt:lpwstr>
  </property>
</Properties>
</file>